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Y:\5 Конкурсы\3 Конкурсы РКС Москва\1. Автозаводская\Черновая отделка\Штукатурка\"/>
    </mc:Choice>
  </mc:AlternateContent>
  <bookViews>
    <workbookView xWindow="0" yWindow="0" windowWidth="28800" windowHeight="12180"/>
  </bookViews>
  <sheets>
    <sheet name="отделка МОП и апарт." sheetId="21" r:id="rId1"/>
    <sheet name="Лист1" sheetId="22" r:id="rId2"/>
  </sheets>
  <definedNames>
    <definedName name="_xlnm._FilterDatabase" localSheetId="0" hidden="1">'отделка МОП и апарт.'!$A$19:$EB$100</definedName>
    <definedName name="_xlnm.Print_Titles" localSheetId="0">'отделка МОП и апарт.'!$16:$16</definedName>
    <definedName name="_xlnm.Print_Area" localSheetId="0">'отделка МОП и апарт.'!$A$1:$EB$126</definedName>
  </definedNames>
  <calcPr calcId="162913" fullPrecision="0"/>
</workbook>
</file>

<file path=xl/calcChain.xml><?xml version="1.0" encoding="utf-8"?>
<calcChain xmlns="http://schemas.openxmlformats.org/spreadsheetml/2006/main">
  <c r="EA22" i="21" l="1"/>
  <c r="G37" i="21"/>
  <c r="G33" i="21"/>
  <c r="G29" i="21"/>
  <c r="G22" i="21"/>
  <c r="DV63" i="21" l="1"/>
  <c r="DU63" i="21"/>
  <c r="DT63" i="21"/>
  <c r="DS63" i="21"/>
  <c r="DR63" i="21"/>
  <c r="DQ63" i="21"/>
  <c r="DP63" i="21"/>
  <c r="DO63" i="21"/>
  <c r="DN63" i="21"/>
  <c r="F45" i="21"/>
  <c r="F46" i="21" l="1"/>
  <c r="F47" i="21"/>
  <c r="F63" i="21"/>
  <c r="F44" i="21"/>
  <c r="EA45" i="21"/>
  <c r="F64" i="21" l="1"/>
  <c r="DW63" i="21" s="1"/>
  <c r="DY63" i="21" s="1"/>
  <c r="F65" i="21"/>
  <c r="EA63" i="21"/>
  <c r="F62" i="21"/>
  <c r="DM29" i="21" l="1"/>
  <c r="DK29" i="21" s="1"/>
  <c r="CU29" i="21"/>
  <c r="CS29" i="21" s="1"/>
  <c r="CA29" i="21"/>
  <c r="BK29" i="21"/>
  <c r="BI29" i="21" s="1"/>
  <c r="AQ29" i="21"/>
  <c r="Y29" i="21"/>
  <c r="F29" i="21" l="1"/>
  <c r="F31" i="21" l="1"/>
  <c r="F30" i="21"/>
  <c r="DK41" i="21"/>
  <c r="CS41" i="21"/>
  <c r="CA41" i="21"/>
  <c r="BI41" i="21"/>
  <c r="AQ41" i="21"/>
  <c r="Y41" i="21"/>
  <c r="G41" i="21"/>
  <c r="F41" i="21" l="1"/>
  <c r="DW45" i="21" l="1"/>
  <c r="F43" i="21"/>
  <c r="F42" i="21"/>
  <c r="EA29" i="21"/>
  <c r="F40" i="21"/>
  <c r="EA41" i="21"/>
  <c r="DW29" i="21"/>
  <c r="DY29" i="21" s="1"/>
  <c r="EB29" i="21" s="1"/>
  <c r="DY45" i="21" l="1"/>
  <c r="DZ45" i="21"/>
  <c r="DZ29" i="21"/>
  <c r="DW41" i="21"/>
  <c r="DV37" i="21"/>
  <c r="DU37" i="21"/>
  <c r="DT37" i="21"/>
  <c r="DS37" i="21"/>
  <c r="DR37" i="21"/>
  <c r="DQ37" i="21"/>
  <c r="DP37" i="21"/>
  <c r="DO37" i="21"/>
  <c r="DN37" i="21"/>
  <c r="DJ37" i="21"/>
  <c r="DI37" i="21"/>
  <c r="DH37" i="21"/>
  <c r="DG37" i="21"/>
  <c r="DF37" i="21"/>
  <c r="DE37" i="21"/>
  <c r="DD37" i="21"/>
  <c r="DC37" i="21"/>
  <c r="DB37" i="21"/>
  <c r="DA37" i="21"/>
  <c r="CZ37" i="21"/>
  <c r="CY37" i="21"/>
  <c r="CX37" i="21"/>
  <c r="CW37" i="21"/>
  <c r="CV37" i="21"/>
  <c r="CR37" i="21"/>
  <c r="CQ37" i="21"/>
  <c r="CP37" i="21"/>
  <c r="CO37" i="21"/>
  <c r="CN37" i="21"/>
  <c r="CM37" i="21"/>
  <c r="CL37" i="21"/>
  <c r="CK37" i="21"/>
  <c r="CJ37" i="21"/>
  <c r="CI37" i="21"/>
  <c r="CH37" i="21"/>
  <c r="CG37" i="21"/>
  <c r="CF37" i="21"/>
  <c r="CE37" i="21"/>
  <c r="CD37" i="21"/>
  <c r="BZ37" i="21"/>
  <c r="BY37" i="21"/>
  <c r="BX37" i="21"/>
  <c r="BW37" i="21"/>
  <c r="BV37" i="21"/>
  <c r="BU37" i="21"/>
  <c r="BT37" i="21"/>
  <c r="BS37" i="21"/>
  <c r="BR37" i="21"/>
  <c r="BQ37" i="21"/>
  <c r="BP37" i="21"/>
  <c r="BO37" i="21"/>
  <c r="BN37" i="21"/>
  <c r="BM37" i="21"/>
  <c r="BL37" i="21"/>
  <c r="BH37" i="21"/>
  <c r="BG37" i="21"/>
  <c r="BF37" i="21"/>
  <c r="BE37" i="21"/>
  <c r="BD37" i="21"/>
  <c r="BC37" i="21"/>
  <c r="BB37" i="21"/>
  <c r="BA37" i="21"/>
  <c r="AZ37" i="21"/>
  <c r="AY37" i="21"/>
  <c r="AX37" i="21"/>
  <c r="AW37" i="21"/>
  <c r="AV37" i="21"/>
  <c r="AU37" i="21"/>
  <c r="AT37" i="21"/>
  <c r="AP37" i="21"/>
  <c r="AO37" i="21"/>
  <c r="AN37" i="21"/>
  <c r="AM37" i="21"/>
  <c r="AL37" i="21"/>
  <c r="AK37" i="21"/>
  <c r="AJ37" i="21"/>
  <c r="AI37" i="21"/>
  <c r="AH37" i="21"/>
  <c r="AG37" i="21"/>
  <c r="AF37" i="21"/>
  <c r="AE37" i="21"/>
  <c r="AD37" i="21"/>
  <c r="AC37" i="21"/>
  <c r="AB37" i="21"/>
  <c r="X37" i="21"/>
  <c r="W37" i="21"/>
  <c r="V37" i="21"/>
  <c r="U37" i="21"/>
  <c r="T37" i="21"/>
  <c r="S37" i="21"/>
  <c r="R37" i="21"/>
  <c r="Q37" i="21"/>
  <c r="P37" i="21"/>
  <c r="O37" i="21"/>
  <c r="N37" i="21"/>
  <c r="M37" i="21"/>
  <c r="L37" i="21"/>
  <c r="K37" i="21"/>
  <c r="J37" i="21"/>
  <c r="EB45" i="21" l="1"/>
  <c r="DY41" i="21"/>
  <c r="EB41" i="21" s="1"/>
  <c r="DZ41" i="21"/>
  <c r="AQ37" i="21"/>
  <c r="BI37" i="21"/>
  <c r="CA37" i="21"/>
  <c r="DK37" i="21"/>
  <c r="CS37" i="21"/>
  <c r="Y37" i="21"/>
  <c r="X51" i="21"/>
  <c r="W51" i="21"/>
  <c r="V51" i="21"/>
  <c r="U51" i="21"/>
  <c r="T51" i="21"/>
  <c r="S51" i="21"/>
  <c r="R51" i="21"/>
  <c r="Q51" i="21"/>
  <c r="P51" i="21"/>
  <c r="O51" i="21"/>
  <c r="N51" i="21"/>
  <c r="M51" i="21"/>
  <c r="L51" i="21"/>
  <c r="K51" i="21"/>
  <c r="J51" i="21"/>
  <c r="F37" i="21" l="1"/>
  <c r="F39" i="21" l="1"/>
  <c r="F38" i="21"/>
  <c r="EA37" i="21"/>
  <c r="F36" i="21"/>
  <c r="DW37" i="21"/>
  <c r="DY37" i="21" s="1"/>
  <c r="EB37" i="21" s="1"/>
  <c r="DZ37" i="21" l="1"/>
  <c r="DU55" i="21"/>
  <c r="I18" i="22"/>
  <c r="H15" i="22"/>
  <c r="K8" i="22"/>
  <c r="M8" i="22" s="1"/>
  <c r="I9" i="22"/>
  <c r="K9" i="22" s="1"/>
  <c r="M9" i="22" s="1"/>
  <c r="I10" i="22"/>
  <c r="K10" i="22" s="1"/>
  <c r="M10" i="22" s="1"/>
  <c r="I11" i="22"/>
  <c r="K11" i="22" s="1"/>
  <c r="M11" i="22" s="1"/>
  <c r="I8" i="22"/>
  <c r="K12" i="22" l="1"/>
  <c r="J59" i="21" l="1"/>
  <c r="K59" i="21"/>
  <c r="L59" i="21"/>
  <c r="M59" i="21"/>
  <c r="N59" i="21"/>
  <c r="O59" i="21"/>
  <c r="P59" i="21"/>
  <c r="Q59" i="21"/>
  <c r="R59" i="21"/>
  <c r="S59" i="21"/>
  <c r="T59" i="21"/>
  <c r="U59" i="21"/>
  <c r="V59" i="21"/>
  <c r="W59" i="21"/>
  <c r="X59" i="21"/>
  <c r="AB59" i="21"/>
  <c r="AC59" i="21"/>
  <c r="AD59" i="21"/>
  <c r="AE59" i="21"/>
  <c r="AF59" i="21"/>
  <c r="AG59" i="21"/>
  <c r="AH59" i="21"/>
  <c r="AI59" i="21"/>
  <c r="AJ59" i="21"/>
  <c r="AK59" i="21"/>
  <c r="AL59" i="21"/>
  <c r="AM59" i="21"/>
  <c r="AN59" i="21"/>
  <c r="AO59" i="21"/>
  <c r="AP59" i="21"/>
  <c r="AT59" i="21"/>
  <c r="AU59" i="21"/>
  <c r="AV59" i="21"/>
  <c r="AW59" i="21"/>
  <c r="AX59" i="21"/>
  <c r="AY59" i="21"/>
  <c r="AZ59" i="21"/>
  <c r="BA59" i="21"/>
  <c r="BB59" i="21"/>
  <c r="BC59" i="21"/>
  <c r="BD59" i="21"/>
  <c r="BE59" i="21"/>
  <c r="BF59" i="21"/>
  <c r="BG59" i="21"/>
  <c r="BH59" i="21"/>
  <c r="BL59" i="21"/>
  <c r="BM59" i="21"/>
  <c r="BN59" i="21"/>
  <c r="BO59" i="21"/>
  <c r="BP59" i="21"/>
  <c r="BQ59" i="21"/>
  <c r="BR59" i="21"/>
  <c r="BS59" i="21"/>
  <c r="BT59" i="21"/>
  <c r="BU59" i="21"/>
  <c r="BV59" i="21"/>
  <c r="BW59" i="21"/>
  <c r="BX59" i="21"/>
  <c r="BY59" i="21"/>
  <c r="BZ59" i="21"/>
  <c r="CD59" i="21"/>
  <c r="CE59" i="21"/>
  <c r="CF59" i="21"/>
  <c r="CG59" i="21"/>
  <c r="CH59" i="21"/>
  <c r="CI59" i="21"/>
  <c r="CJ59" i="21"/>
  <c r="CK59" i="21"/>
  <c r="CL59" i="21"/>
  <c r="CM59" i="21"/>
  <c r="CN59" i="21"/>
  <c r="CO59" i="21"/>
  <c r="CP59" i="21"/>
  <c r="CQ59" i="21"/>
  <c r="CR59" i="21"/>
  <c r="CV59" i="21"/>
  <c r="CW59" i="21"/>
  <c r="CX59" i="21"/>
  <c r="CY59" i="21"/>
  <c r="CZ59" i="21"/>
  <c r="DA59" i="21"/>
  <c r="DB59" i="21"/>
  <c r="DC59" i="21"/>
  <c r="DD59" i="21"/>
  <c r="DE59" i="21"/>
  <c r="DF59" i="21"/>
  <c r="DG59" i="21"/>
  <c r="DH59" i="21"/>
  <c r="DI59" i="21"/>
  <c r="DJ59" i="21"/>
  <c r="DN59" i="21"/>
  <c r="DO59" i="21"/>
  <c r="DP59" i="21"/>
  <c r="DQ59" i="21"/>
  <c r="DR59" i="21"/>
  <c r="DS59" i="21"/>
  <c r="DT59" i="21"/>
  <c r="DU59" i="21"/>
  <c r="DV59" i="21"/>
  <c r="J55" i="21"/>
  <c r="DV55" i="21"/>
  <c r="DT55" i="21"/>
  <c r="DS55" i="21"/>
  <c r="DR55" i="21"/>
  <c r="DQ55" i="21"/>
  <c r="DP55" i="21"/>
  <c r="DO55" i="21"/>
  <c r="DN55" i="21"/>
  <c r="DJ55" i="21"/>
  <c r="DI55" i="21"/>
  <c r="DH55" i="21"/>
  <c r="DG55" i="21"/>
  <c r="DF55" i="21"/>
  <c r="DE55" i="21"/>
  <c r="DD55" i="21"/>
  <c r="DC55" i="21"/>
  <c r="DB55" i="21"/>
  <c r="DA55" i="21"/>
  <c r="CZ55" i="21"/>
  <c r="CY55" i="21"/>
  <c r="CX55" i="21"/>
  <c r="CW55" i="21"/>
  <c r="CV55" i="21"/>
  <c r="CR55" i="21"/>
  <c r="CQ55" i="21"/>
  <c r="CP55" i="21"/>
  <c r="CO55" i="21"/>
  <c r="CN55" i="21"/>
  <c r="CM55" i="21"/>
  <c r="CL55" i="21"/>
  <c r="CK55" i="21"/>
  <c r="CJ55" i="21"/>
  <c r="CI55" i="21"/>
  <c r="CH55" i="21"/>
  <c r="CG55" i="21"/>
  <c r="CF55" i="21"/>
  <c r="CE55" i="21"/>
  <c r="CD55" i="21"/>
  <c r="BZ55" i="21"/>
  <c r="BY55" i="21"/>
  <c r="BX55" i="21"/>
  <c r="BW55" i="21"/>
  <c r="BV55" i="21"/>
  <c r="BU55" i="21"/>
  <c r="BT55" i="21"/>
  <c r="BS55" i="21"/>
  <c r="BR55" i="21"/>
  <c r="BQ55" i="21"/>
  <c r="BP55" i="21"/>
  <c r="BO55" i="21"/>
  <c r="BN55" i="21"/>
  <c r="BM55" i="21"/>
  <c r="BL55" i="21"/>
  <c r="BH55" i="21"/>
  <c r="BG55" i="21"/>
  <c r="BF55" i="21"/>
  <c r="BE55" i="21"/>
  <c r="BD55" i="21"/>
  <c r="BC55" i="21"/>
  <c r="BB55" i="21"/>
  <c r="BA55" i="21"/>
  <c r="AZ55" i="21"/>
  <c r="AY55" i="21"/>
  <c r="AX55" i="21"/>
  <c r="AW55" i="21"/>
  <c r="AV55" i="21"/>
  <c r="AU55" i="21"/>
  <c r="AT55" i="21"/>
  <c r="AP55" i="21"/>
  <c r="AO55" i="21"/>
  <c r="AN55" i="21"/>
  <c r="AM55" i="21"/>
  <c r="AL55" i="21"/>
  <c r="AK55" i="21"/>
  <c r="AJ55" i="21"/>
  <c r="AI55" i="21"/>
  <c r="AH55" i="21"/>
  <c r="AG55" i="21"/>
  <c r="AF55" i="21"/>
  <c r="AE55" i="21"/>
  <c r="AD55" i="21"/>
  <c r="AC55" i="21"/>
  <c r="AB55" i="21"/>
  <c r="X55" i="21"/>
  <c r="W55" i="21"/>
  <c r="V55" i="21"/>
  <c r="U55" i="21"/>
  <c r="T55" i="21"/>
  <c r="S55" i="21"/>
  <c r="R55" i="21"/>
  <c r="Q55" i="21"/>
  <c r="P55" i="21"/>
  <c r="O55" i="21"/>
  <c r="N55" i="21"/>
  <c r="M55" i="21"/>
  <c r="L55" i="21"/>
  <c r="K55" i="21"/>
  <c r="AQ59" i="21" l="1"/>
  <c r="DK59" i="21"/>
  <c r="CA59" i="21"/>
  <c r="CS59" i="21"/>
  <c r="G59" i="21"/>
  <c r="BI59" i="21"/>
  <c r="Y59" i="21"/>
  <c r="CA55" i="21"/>
  <c r="CS55" i="21"/>
  <c r="BI55" i="21"/>
  <c r="Y55" i="21"/>
  <c r="AQ55" i="21"/>
  <c r="G55" i="21"/>
  <c r="DK55" i="21"/>
  <c r="DO26" i="21"/>
  <c r="DP26" i="21"/>
  <c r="DQ26" i="21"/>
  <c r="DR26" i="21"/>
  <c r="DS26" i="21"/>
  <c r="DT26" i="21"/>
  <c r="DU26" i="21"/>
  <c r="DV26" i="21"/>
  <c r="DN26" i="21"/>
  <c r="CW26" i="21"/>
  <c r="CX26" i="21"/>
  <c r="CY26" i="21"/>
  <c r="CZ26" i="21"/>
  <c r="DA26" i="21"/>
  <c r="DB26" i="21"/>
  <c r="DC26" i="21"/>
  <c r="DD26" i="21"/>
  <c r="DE26" i="21"/>
  <c r="DF26" i="21"/>
  <c r="DG26" i="21"/>
  <c r="DH26" i="21"/>
  <c r="DI26" i="21"/>
  <c r="DJ26" i="21"/>
  <c r="CV26" i="21"/>
  <c r="CE26" i="21"/>
  <c r="CF26" i="21"/>
  <c r="CG26" i="21"/>
  <c r="CH26" i="21"/>
  <c r="CI26" i="21"/>
  <c r="CJ26" i="21"/>
  <c r="CK26" i="21"/>
  <c r="CL26" i="21"/>
  <c r="CM26" i="21"/>
  <c r="CN26" i="21"/>
  <c r="CO26" i="21"/>
  <c r="CP26" i="21"/>
  <c r="CQ26" i="21"/>
  <c r="CR26" i="21"/>
  <c r="CD26" i="21"/>
  <c r="BM26" i="21"/>
  <c r="BN26" i="21"/>
  <c r="BO26" i="21"/>
  <c r="BP26" i="21"/>
  <c r="BQ26" i="21"/>
  <c r="BR26" i="21"/>
  <c r="BS26" i="21"/>
  <c r="BT26" i="21"/>
  <c r="BU26" i="21"/>
  <c r="BV26" i="21"/>
  <c r="BW26" i="21"/>
  <c r="BX26" i="21"/>
  <c r="BY26" i="21"/>
  <c r="BZ26" i="21"/>
  <c r="BL26" i="21"/>
  <c r="AU26" i="21"/>
  <c r="AV26" i="21"/>
  <c r="AW26" i="21"/>
  <c r="AX26" i="21"/>
  <c r="AY26" i="21"/>
  <c r="AZ26" i="21"/>
  <c r="BA26" i="21"/>
  <c r="BB26" i="21"/>
  <c r="BC26" i="21"/>
  <c r="BD26" i="21"/>
  <c r="BE26" i="21"/>
  <c r="BF26" i="21"/>
  <c r="BG26" i="21"/>
  <c r="BH26" i="21"/>
  <c r="AT26" i="21"/>
  <c r="AC26" i="21"/>
  <c r="AD26" i="21"/>
  <c r="AE26" i="21"/>
  <c r="AF26" i="21"/>
  <c r="AG26" i="21"/>
  <c r="AH26" i="21"/>
  <c r="AI26" i="21"/>
  <c r="AJ26" i="21"/>
  <c r="AK26" i="21"/>
  <c r="AL26" i="21"/>
  <c r="AM26" i="21"/>
  <c r="AN26" i="21"/>
  <c r="AO26" i="21"/>
  <c r="AP26" i="21"/>
  <c r="AB26" i="21"/>
  <c r="K26" i="21"/>
  <c r="L26" i="21"/>
  <c r="M26" i="21"/>
  <c r="N26" i="21"/>
  <c r="O26" i="21"/>
  <c r="P26" i="21"/>
  <c r="Q26" i="21"/>
  <c r="R26" i="21"/>
  <c r="S26" i="21"/>
  <c r="T26" i="21"/>
  <c r="U26" i="21"/>
  <c r="V26" i="21"/>
  <c r="W26" i="21"/>
  <c r="X26" i="21"/>
  <c r="J26" i="21"/>
  <c r="F59" i="21" l="1"/>
  <c r="F60" i="21" s="1"/>
  <c r="F55" i="21"/>
  <c r="DK26" i="21"/>
  <c r="Y26" i="21"/>
  <c r="G26" i="21"/>
  <c r="AQ26" i="21"/>
  <c r="BI26" i="21"/>
  <c r="CS26" i="21"/>
  <c r="CA26" i="21"/>
  <c r="F26" i="21" l="1"/>
  <c r="F57" i="21"/>
  <c r="F56" i="21"/>
  <c r="F61" i="21"/>
  <c r="EA55" i="21"/>
  <c r="F58" i="21"/>
  <c r="EA59" i="21"/>
  <c r="DW55" i="21"/>
  <c r="DY55" i="21" s="1"/>
  <c r="EB55" i="21" s="1"/>
  <c r="F25" i="21" l="1"/>
  <c r="F28" i="21"/>
  <c r="F27" i="21"/>
  <c r="DZ63" i="21"/>
  <c r="EB63" i="21"/>
  <c r="DW59" i="21"/>
  <c r="DZ55" i="21"/>
  <c r="DP33" i="21"/>
  <c r="DQ33" i="21"/>
  <c r="DR33" i="21"/>
  <c r="DS33" i="21"/>
  <c r="DT33" i="21"/>
  <c r="DU33" i="21"/>
  <c r="DV33" i="21"/>
  <c r="DE33" i="21"/>
  <c r="DF33" i="21"/>
  <c r="DG33" i="21"/>
  <c r="DH33" i="21"/>
  <c r="DI33" i="21"/>
  <c r="CY33" i="21"/>
  <c r="CZ33" i="21"/>
  <c r="DA33" i="21"/>
  <c r="DB33" i="21"/>
  <c r="DC33" i="21"/>
  <c r="DD33" i="21"/>
  <c r="CX33" i="21"/>
  <c r="DO33" i="21"/>
  <c r="DN33" i="21"/>
  <c r="CW33" i="21"/>
  <c r="CV33" i="21"/>
  <c r="BM33" i="21"/>
  <c r="BN33" i="21"/>
  <c r="BO33" i="21"/>
  <c r="BP33" i="21"/>
  <c r="BQ33" i="21"/>
  <c r="BR33" i="21"/>
  <c r="BS33" i="21"/>
  <c r="BT33" i="21"/>
  <c r="BU33" i="21"/>
  <c r="BV33" i="21"/>
  <c r="BW33" i="21"/>
  <c r="BX33" i="21"/>
  <c r="BY33" i="21"/>
  <c r="BZ33" i="21"/>
  <c r="BL33" i="21"/>
  <c r="CK33" i="21"/>
  <c r="CL33" i="21"/>
  <c r="CM33" i="21"/>
  <c r="CN33" i="21"/>
  <c r="CO33" i="21"/>
  <c r="CP33" i="21"/>
  <c r="CQ33" i="21"/>
  <c r="CR33" i="21"/>
  <c r="CF33" i="21"/>
  <c r="CG33" i="21"/>
  <c r="CH33" i="21"/>
  <c r="CI33" i="21"/>
  <c r="CJ33" i="21"/>
  <c r="CE33" i="21"/>
  <c r="CD33" i="21"/>
  <c r="BA33" i="21"/>
  <c r="BB33" i="21"/>
  <c r="BC33" i="21"/>
  <c r="BD33" i="21"/>
  <c r="BE33" i="21"/>
  <c r="BF33" i="21"/>
  <c r="BG33" i="21"/>
  <c r="BH33" i="21"/>
  <c r="AP33" i="21"/>
  <c r="AI33" i="21"/>
  <c r="AJ33" i="21"/>
  <c r="AK33" i="21"/>
  <c r="AL33" i="21"/>
  <c r="AM33" i="21"/>
  <c r="AN33" i="21"/>
  <c r="AO33" i="21"/>
  <c r="X33" i="21"/>
  <c r="Q33" i="21"/>
  <c r="R33" i="21"/>
  <c r="S33" i="21"/>
  <c r="T33" i="21"/>
  <c r="U33" i="21"/>
  <c r="V33" i="21"/>
  <c r="W33" i="21"/>
  <c r="AV33" i="21"/>
  <c r="AW33" i="21"/>
  <c r="AX33" i="21"/>
  <c r="AY33" i="21"/>
  <c r="AZ33" i="21"/>
  <c r="L33" i="21"/>
  <c r="M33" i="21"/>
  <c r="N33" i="21"/>
  <c r="O33" i="21"/>
  <c r="P33" i="21"/>
  <c r="AD33" i="21"/>
  <c r="AE33" i="21"/>
  <c r="AF33" i="21"/>
  <c r="AG33" i="21"/>
  <c r="AH33" i="21"/>
  <c r="AU33" i="21"/>
  <c r="AT33" i="21"/>
  <c r="AC33" i="21"/>
  <c r="AB33" i="21"/>
  <c r="K33" i="21"/>
  <c r="J33" i="21"/>
  <c r="DG22" i="21"/>
  <c r="DJ22" i="21"/>
  <c r="DI22" i="21"/>
  <c r="DH22" i="21"/>
  <c r="DF22" i="21"/>
  <c r="DE22" i="21"/>
  <c r="DV22" i="21"/>
  <c r="DU22" i="21"/>
  <c r="DT22" i="21"/>
  <c r="DS22" i="21"/>
  <c r="DP22" i="21"/>
  <c r="DQ22" i="21"/>
  <c r="DR22" i="21"/>
  <c r="CX22" i="21"/>
  <c r="CY22" i="21"/>
  <c r="CZ22" i="21"/>
  <c r="DA22" i="21"/>
  <c r="DB22" i="21"/>
  <c r="DC22" i="21"/>
  <c r="DD22" i="21"/>
  <c r="DO22" i="21"/>
  <c r="DN22" i="21"/>
  <c r="CW22" i="21"/>
  <c r="CV22" i="21"/>
  <c r="BN22" i="21"/>
  <c r="BO22" i="21"/>
  <c r="BP22" i="21"/>
  <c r="BQ22" i="21"/>
  <c r="BR22" i="21"/>
  <c r="BS22" i="21"/>
  <c r="BT22" i="21"/>
  <c r="BU22" i="21"/>
  <c r="BV22" i="21"/>
  <c r="BW22" i="21"/>
  <c r="BX22" i="21"/>
  <c r="BY22" i="21"/>
  <c r="BZ22" i="21"/>
  <c r="CF22" i="21"/>
  <c r="CG22" i="21"/>
  <c r="CH22" i="21"/>
  <c r="CI22" i="21"/>
  <c r="CJ22" i="21"/>
  <c r="CK22" i="21"/>
  <c r="CL22" i="21"/>
  <c r="CM22" i="21"/>
  <c r="CN22" i="21"/>
  <c r="CO22" i="21"/>
  <c r="CP22" i="21"/>
  <c r="CQ22" i="21"/>
  <c r="CR22" i="21"/>
  <c r="CE22" i="21"/>
  <c r="CD22" i="21"/>
  <c r="BM22" i="21"/>
  <c r="BL22" i="21"/>
  <c r="BA22" i="21"/>
  <c r="BB22" i="21"/>
  <c r="BC22" i="21"/>
  <c r="BD22" i="21"/>
  <c r="BE22" i="21"/>
  <c r="BF22" i="21"/>
  <c r="BG22" i="21"/>
  <c r="BH22" i="21"/>
  <c r="AI22" i="21"/>
  <c r="AJ22" i="21"/>
  <c r="AK22" i="21"/>
  <c r="AL22" i="21"/>
  <c r="AM22" i="21"/>
  <c r="AN22" i="21"/>
  <c r="AO22" i="21"/>
  <c r="AP22" i="21"/>
  <c r="Q22" i="21"/>
  <c r="R22" i="21"/>
  <c r="S22" i="21"/>
  <c r="T22" i="21"/>
  <c r="U22" i="21"/>
  <c r="V22" i="21"/>
  <c r="W22" i="21"/>
  <c r="X22" i="21"/>
  <c r="AV22" i="21"/>
  <c r="AW22" i="21"/>
  <c r="AX22" i="21"/>
  <c r="AY22" i="21"/>
  <c r="AZ22" i="21"/>
  <c r="AE22" i="21"/>
  <c r="AF22" i="21"/>
  <c r="AG22" i="21"/>
  <c r="AH22" i="21"/>
  <c r="AD22" i="21"/>
  <c r="M22" i="21"/>
  <c r="N22" i="21"/>
  <c r="O22" i="21"/>
  <c r="P22" i="21"/>
  <c r="L22" i="21"/>
  <c r="AU22" i="21"/>
  <c r="AT22" i="21"/>
  <c r="AC22" i="21"/>
  <c r="AB22" i="21"/>
  <c r="K22" i="21"/>
  <c r="J22" i="21"/>
  <c r="DV51" i="21"/>
  <c r="DU51" i="21"/>
  <c r="DT51" i="21"/>
  <c r="DS51" i="21"/>
  <c r="DQ51" i="21"/>
  <c r="DR51" i="21"/>
  <c r="DP51" i="21"/>
  <c r="DO51" i="21"/>
  <c r="DN51" i="21"/>
  <c r="DJ51" i="21"/>
  <c r="DI51" i="21"/>
  <c r="DH51" i="21"/>
  <c r="DG51" i="21"/>
  <c r="DF51" i="21"/>
  <c r="DE51" i="21"/>
  <c r="CY51" i="21"/>
  <c r="CZ51" i="21"/>
  <c r="DA51" i="21"/>
  <c r="DB51" i="21"/>
  <c r="DC51" i="21"/>
  <c r="DD51" i="21"/>
  <c r="CX51" i="21"/>
  <c r="CW51" i="21"/>
  <c r="CV51" i="21"/>
  <c r="CO51" i="21"/>
  <c r="CP51" i="21"/>
  <c r="CQ51" i="21"/>
  <c r="CR51" i="21"/>
  <c r="CG51" i="21"/>
  <c r="CH51" i="21"/>
  <c r="CI51" i="21"/>
  <c r="CJ51" i="21"/>
  <c r="CK51" i="21"/>
  <c r="CL51" i="21"/>
  <c r="CM51" i="21"/>
  <c r="CN51" i="21"/>
  <c r="CF51" i="21"/>
  <c r="CE51" i="21"/>
  <c r="CD51" i="21"/>
  <c r="BW51" i="21"/>
  <c r="BX51" i="21"/>
  <c r="BY51" i="21"/>
  <c r="BZ51" i="21"/>
  <c r="BO51" i="21"/>
  <c r="BP51" i="21"/>
  <c r="BQ51" i="21"/>
  <c r="BR51" i="21"/>
  <c r="BS51" i="21"/>
  <c r="BT51" i="21"/>
  <c r="BU51" i="21"/>
  <c r="BV51" i="21"/>
  <c r="BN51" i="21"/>
  <c r="BM51" i="21"/>
  <c r="BL51" i="21"/>
  <c r="BB51" i="21"/>
  <c r="BC51" i="21"/>
  <c r="BD51" i="21"/>
  <c r="BE51" i="21"/>
  <c r="BF51" i="21"/>
  <c r="BG51" i="21"/>
  <c r="BH51" i="21"/>
  <c r="BA51" i="21"/>
  <c r="AW51" i="21"/>
  <c r="AX51" i="21"/>
  <c r="AY51" i="21"/>
  <c r="AZ51" i="21"/>
  <c r="AV51" i="21"/>
  <c r="AU51" i="21"/>
  <c r="AT51" i="21"/>
  <c r="AN51" i="21"/>
  <c r="AO51" i="21"/>
  <c r="AP51" i="21"/>
  <c r="AJ51" i="21"/>
  <c r="AK51" i="21"/>
  <c r="AL51" i="21"/>
  <c r="AM51" i="21"/>
  <c r="AI51" i="21"/>
  <c r="AE51" i="21"/>
  <c r="AF51" i="21"/>
  <c r="AG51" i="21"/>
  <c r="AH51" i="21"/>
  <c r="AD51" i="21"/>
  <c r="AC51" i="21"/>
  <c r="AB51" i="21"/>
  <c r="DY59" i="21" l="1"/>
  <c r="EB59" i="21" s="1"/>
  <c r="DZ59" i="21"/>
  <c r="EA26" i="21"/>
  <c r="DW26" i="21"/>
  <c r="DY26" i="21" s="1"/>
  <c r="Y33" i="21"/>
  <c r="CS33" i="21"/>
  <c r="CS22" i="21"/>
  <c r="DK33" i="21"/>
  <c r="BI22" i="21"/>
  <c r="AQ33" i="21"/>
  <c r="BI33" i="21"/>
  <c r="CA33" i="21"/>
  <c r="DK22" i="21"/>
  <c r="CA22" i="21"/>
  <c r="AQ22" i="21"/>
  <c r="Y22" i="21"/>
  <c r="DK51" i="21"/>
  <c r="CS51" i="21"/>
  <c r="BI51" i="21"/>
  <c r="CA51" i="21"/>
  <c r="Y51" i="21"/>
  <c r="F22" i="21" l="1"/>
  <c r="F21" i="21" s="1"/>
  <c r="EB26" i="21"/>
  <c r="DZ26" i="21"/>
  <c r="F33" i="21"/>
  <c r="F54" i="21"/>
  <c r="AQ51" i="21"/>
  <c r="G51" i="21"/>
  <c r="F24" i="21" l="1"/>
  <c r="F23" i="21"/>
  <c r="F35" i="21"/>
  <c r="F34" i="21"/>
  <c r="DW33" i="21" s="1"/>
  <c r="DY33" i="21" s="1"/>
  <c r="EB33" i="21" s="1"/>
  <c r="DW22" i="21"/>
  <c r="DZ22" i="21" s="1"/>
  <c r="EA33" i="21"/>
  <c r="F32" i="21"/>
  <c r="F51" i="21"/>
  <c r="EA20" i="21" l="1"/>
  <c r="EA19" i="21" s="1"/>
  <c r="F53" i="21"/>
  <c r="F52" i="21"/>
  <c r="DZ33" i="21"/>
  <c r="EA51" i="21"/>
  <c r="DW51" i="21"/>
  <c r="DY51" i="21" s="1"/>
  <c r="EB51" i="21" s="1"/>
  <c r="EB49" i="21" s="1"/>
  <c r="EB48" i="21" s="1"/>
  <c r="F50" i="21"/>
  <c r="EA49" i="21" l="1"/>
  <c r="EA48" i="21" s="1"/>
  <c r="EA18" i="21" s="1"/>
  <c r="EA66" i="21" s="1"/>
  <c r="DZ51" i="21"/>
  <c r="DZ49" i="21" s="1"/>
  <c r="DZ48" i="21" s="1"/>
  <c r="DY22" i="21"/>
  <c r="EB74" i="21" l="1"/>
  <c r="EB73" i="21"/>
  <c r="EB72" i="21"/>
  <c r="EB71" i="21"/>
  <c r="EB70" i="21"/>
  <c r="EB69" i="21"/>
  <c r="EB68" i="21"/>
  <c r="EB22" i="21"/>
  <c r="DZ20" i="21"/>
  <c r="DZ19" i="21" s="1"/>
  <c r="DZ18" i="21" s="1"/>
  <c r="DZ66" i="21" s="1"/>
  <c r="EB20" i="21" l="1"/>
  <c r="EB19" i="21" s="1"/>
  <c r="EB18" i="21" s="1"/>
  <c r="EB66" i="21" s="1"/>
  <c r="EB67" i="21" s="1"/>
</calcChain>
</file>

<file path=xl/sharedStrings.xml><?xml version="1.0" encoding="utf-8"?>
<sst xmlns="http://schemas.openxmlformats.org/spreadsheetml/2006/main" count="327" uniqueCount="167">
  <si>
    <t>Ед.изм</t>
  </si>
  <si>
    <t>Наименование позиции</t>
  </si>
  <si>
    <t>№ п/п</t>
  </si>
  <si>
    <t>Стоимость на ед. с НДС, руб</t>
  </si>
  <si>
    <t>Стоимость всего с НДС, руб</t>
  </si>
  <si>
    <t>Материалы</t>
  </si>
  <si>
    <t>Всего</t>
  </si>
  <si>
    <t>1</t>
  </si>
  <si>
    <t>1.1</t>
  </si>
  <si>
    <t>1.1.1</t>
  </si>
  <si>
    <r>
      <t xml:space="preserve">_____________ </t>
    </r>
    <r>
      <rPr>
        <b/>
        <sz val="12"/>
        <rFont val="Times New Roman"/>
        <family val="1"/>
        <charset val="204"/>
      </rPr>
      <t xml:space="preserve">. . </t>
    </r>
    <r>
      <rPr>
        <sz val="12"/>
        <rFont val="Times New Roman"/>
        <family val="2"/>
        <charset val="204"/>
      </rPr>
      <t xml:space="preserve">
М.П.</t>
    </r>
  </si>
  <si>
    <t>Подрядчик
ООО ""
Генеральный директор</t>
  </si>
  <si>
    <t>Генподрядчик
ООО "РКС-Строй"
Генеральный директор</t>
  </si>
  <si>
    <t>- Объемы работ принимаются фактически выполнненые.</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</si>
  <si>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</si>
  <si>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</si>
  <si>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</si>
  <si>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2. Коммерческое предложение включает все мероприятия, связанные с производством работ в зимний период.</t>
  </si>
  <si>
    <t>- Учтены все возможные удорожания стоимости работ и технические сложности.</t>
  </si>
  <si>
    <t>м2</t>
  </si>
  <si>
    <t>1.2</t>
  </si>
  <si>
    <t>1.2.1</t>
  </si>
  <si>
    <t>1.3</t>
  </si>
  <si>
    <t>1.3.1</t>
  </si>
  <si>
    <t>1.4.1</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</si>
  <si>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</si>
  <si>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</si>
  <si>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11. Работы по необходимым испытаниям,  включены в единичные цены Предложения, учтены и отдельно оплачиваться не будут</t>
  </si>
  <si>
    <t xml:space="preserve">Субподрядчиком подтверждается и учтено в единичных расценках и Цене работ: </t>
  </si>
  <si>
    <t>- Расходы на геодезическое сопровождение и исполнительную документацию.</t>
  </si>
  <si>
    <t>- Расходы на мобилизацию/демобилизацию.</t>
  </si>
  <si>
    <t>- Расходы на охрану труда, защитные мероприятия и средства подмащивания.</t>
  </si>
  <si>
    <t>- Расходы на разработку ППР и согласование в установленном порядке.</t>
  </si>
  <si>
    <t>- Расходы на доставку, разгрузку материалов, перемещение на объекте,  подачу в зону производства работ.</t>
  </si>
  <si>
    <t>- Включена вся необходимая строительная техника, оборудование, материалы.</t>
  </si>
  <si>
    <t>- Удержание на гарантийный период (возврат гарантийного удержания через 12 месяцев с даты подписания последней КС.) - 5 % от стоимости СМР.</t>
  </si>
  <si>
    <t>8.  Перерасход материалов и расход при монтаже должны быть включены в единичные расценки и НЕ оплачиваются отдельно.</t>
  </si>
  <si>
    <t>13.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</si>
  <si>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Цены на материалы указаны с учётом НДС (20%) и доставкой на Объект</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</si>
  <si>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связаные с доставкой/разгрузкой/вывозом материала, водоснобжения, электроснабжением, водоотведением и прочие вопросы прямо или косвенно влияющие на производстов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</si>
  <si>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r>
      <t xml:space="preserve">___________________ </t>
    </r>
    <r>
      <rPr>
        <b/>
        <sz val="12"/>
        <rFont val="Times New Roman"/>
        <family val="1"/>
        <charset val="204"/>
      </rPr>
      <t xml:space="preserve">А. Ю. Поташев </t>
    </r>
    <r>
      <rPr>
        <sz val="12"/>
        <rFont val="Times New Roman"/>
        <family val="2"/>
        <charset val="204"/>
      </rPr>
      <t xml:space="preserve">
М.П.</t>
    </r>
  </si>
  <si>
    <t>Наименование контрагента</t>
  </si>
  <si>
    <t>Ячейки, выделенные данным цветом - обязательны к заполнению</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</si>
  <si>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</si>
  <si>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</si>
  <si>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</si>
  <si>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</si>
  <si>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</si>
  <si>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</si>
  <si>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</si>
  <si>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</si>
  <si>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</si>
  <si>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</si>
  <si>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</si>
  <si>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</si>
  <si>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</si>
  <si>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Срок возврата 5% гарантийного удержания</t>
  </si>
  <si>
    <t>12 месяцев с даты подписания последней КС</t>
  </si>
  <si>
    <t>Готовность выхода на строительную площадку по гарантийному письму (да/нет)</t>
  </si>
  <si>
    <t>да/нет (выбрать нужное)</t>
  </si>
  <si>
    <t>Гарантийный срок , мес</t>
  </si>
  <si>
    <t>60</t>
  </si>
  <si>
    <t>СРО</t>
  </si>
  <si>
    <t>№ _______________ от __________ г.</t>
  </si>
  <si>
    <t>Классификатор</t>
  </si>
  <si>
    <t>Согласие с типовой формой договора Заказчика (да)</t>
  </si>
  <si>
    <t>Итого с НДС</t>
  </si>
  <si>
    <t>в том числе НДС 20%</t>
  </si>
  <si>
    <t>Согласие в подписание договора электронной цифровой подписью (да/нет)</t>
  </si>
  <si>
    <t>Кол-во общее</t>
  </si>
  <si>
    <t>Корпус 1</t>
  </si>
  <si>
    <t>Секция 1</t>
  </si>
  <si>
    <t>Секция 2</t>
  </si>
  <si>
    <t>Секция 3</t>
  </si>
  <si>
    <t>Корпус 2</t>
  </si>
  <si>
    <t>Корпус 3</t>
  </si>
  <si>
    <t>Секция 4</t>
  </si>
  <si>
    <t>Секция 5</t>
  </si>
  <si>
    <t>Секция 6</t>
  </si>
  <si>
    <t>Секция 7</t>
  </si>
  <si>
    <t>Этаж 2</t>
  </si>
  <si>
    <t>Этаж 3</t>
  </si>
  <si>
    <t>Этаж 4</t>
  </si>
  <si>
    <t>Этаж 5</t>
  </si>
  <si>
    <t>Этаж 6</t>
  </si>
  <si>
    <t>Этаж 7</t>
  </si>
  <si>
    <t>Этаж 8</t>
  </si>
  <si>
    <t>Этаж 9</t>
  </si>
  <si>
    <t>Этаж 10</t>
  </si>
  <si>
    <t>Этаж 11</t>
  </si>
  <si>
    <t>Этаж 12</t>
  </si>
  <si>
    <t>Этаж 13</t>
  </si>
  <si>
    <t>Этаж 14</t>
  </si>
  <si>
    <t>Этаж 15</t>
  </si>
  <si>
    <t>Этаж 16</t>
  </si>
  <si>
    <t>1.4</t>
  </si>
  <si>
    <t>1.5</t>
  </si>
  <si>
    <t>1.5.1</t>
  </si>
  <si>
    <t>длина</t>
  </si>
  <si>
    <t>двери</t>
  </si>
  <si>
    <t>Высота стен в с/у плитка</t>
  </si>
  <si>
    <t>Стены (2-16 этаж) Тип 3 (коридоры апартаментов за вычетом проемов)</t>
  </si>
  <si>
    <t>Стены 2-16 этаж Тип 2 (лифтовый холл за вычетом проемов)</t>
  </si>
  <si>
    <t>Стены 2-16 этаж Тип 5 (ПУИ за вычетом проемов)</t>
  </si>
  <si>
    <t>Стены 2-16 этаж Тип А (апартаменты за вычетом проемов)</t>
  </si>
  <si>
    <t>кг</t>
  </si>
  <si>
    <t>л</t>
  </si>
  <si>
    <t>Норма расхода</t>
  </si>
  <si>
    <t>мп</t>
  </si>
  <si>
    <t>1,19*3*18+2,88*3*5+1,17*3*4+1,43*3*7</t>
  </si>
  <si>
    <t>Стены 2-16 этаж (МОП)</t>
  </si>
  <si>
    <t>1.2.2</t>
  </si>
  <si>
    <t>Стены 1-16 этаж+ниже 0.000 Тип 1 (лестничная клетка за вычетом проемов)</t>
  </si>
  <si>
    <t>- Цементная штукатурная смесь Кнауф Грюндбанд, Волма Акваслой толщ. до 20 мм</t>
  </si>
  <si>
    <t xml:space="preserve">- Грунтовка Волма-Контакт+, КНАУФ-Тифенгрунд </t>
  </si>
  <si>
    <t>1. В единичных расценках учтена последовательность операций и трудозатраты по устройству комплекса штукатурных работ.</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</si>
  <si>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СП и включены в коммерческое предложение.                     </t>
  </si>
  <si>
    <t>6.  В случае обнаружения не соответствия в проектном решении, или в техническом регламенте, или в инструкциях производителя требований ГОСТ и СП предъявленных к конструкциям или материалам, их необходимо согласовать с Заказчиком и в подсчете объемов учесть правильное решение.</t>
  </si>
  <si>
    <t>9.  Субподрядчик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(при необходимости), обязательна при производстве работ на стройплощадке и включена в стоимость работ.</t>
  </si>
  <si>
    <t>12. Субподрядчик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</si>
  <si>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 Гипсовая штукатурная смесь Волма-Слой, Кнауф-Ротбанд толщ. до 20 мм</t>
  </si>
  <si>
    <t>Устройство высококачественной гипсовой штукатурки стен толщ. до 20 мм по огрунтованной поверхности</t>
  </si>
  <si>
    <t>Устройство высококачественной гипсовой штукатурки откосов стен толщ. до 20 мм по огрунтованной поверхности</t>
  </si>
  <si>
    <t>Устройство высококачественной цементной штукатурки стен толщ. до 20 мм по огрунтованной поверхности</t>
  </si>
  <si>
    <t>Отделка</t>
  </si>
  <si>
    <t>Наименование работ: Полный комплекс работ по устройству штукатурки Корпусов 1-3 (1 - 16 этажи)</t>
  </si>
  <si>
    <t>4.8</t>
  </si>
  <si>
    <t>Отделка МОП</t>
  </si>
  <si>
    <t>4.8.1.2</t>
  </si>
  <si>
    <t>4.8.1.2.1</t>
  </si>
  <si>
    <t>Устройство черновой отделки - штукатурка стен пом. МОП, ПУИ, ЛК, ЛШ</t>
  </si>
  <si>
    <t>4.8.3</t>
  </si>
  <si>
    <t>4.8.3.1</t>
  </si>
  <si>
    <t>Отделка апартаментов</t>
  </si>
  <si>
    <t>Устройство черновой отделки - штукатурка стен апартаментов</t>
  </si>
  <si>
    <t>в том числе Корпус 1, секция 1</t>
  </si>
  <si>
    <t>в том числе Корпус 1, секция 2</t>
  </si>
  <si>
    <t>в том числе Корпус 1, секция 3</t>
  </si>
  <si>
    <t>в том числе Корпус 2, секция 4</t>
  </si>
  <si>
    <t>в том числе Корпус 2, секция 5</t>
  </si>
  <si>
    <t>в том числе Корпус 3, секция 6</t>
  </si>
  <si>
    <t>в том числе Корпус 3, секция 7</t>
  </si>
  <si>
    <t>Работы</t>
  </si>
  <si>
    <t xml:space="preserve">Цена материалов </t>
  </si>
  <si>
    <t>Цена работ</t>
  </si>
  <si>
    <t>Ниже отм.0.000</t>
  </si>
  <si>
    <t>Этаж 1</t>
  </si>
  <si>
    <r>
      <t xml:space="preserve">Стены 2-16 этаж Тип Б (санузлы апартаментов за вычетом проемов)  </t>
    </r>
    <r>
      <rPr>
        <b/>
        <sz val="12"/>
        <color rgb="FFFF0000"/>
        <rFont val="Times New Roman"/>
        <family val="1"/>
        <charset val="204"/>
      </rPr>
      <t>СПРАВОЧНО -  слой 10 мм.</t>
    </r>
  </si>
  <si>
    <t xml:space="preserve"> - аванс на материалы (оплата по распредписьмам):</t>
  </si>
  <si>
    <t>7. Подсчет объемов работ производится по рабочим чертежам. Единичные расценки фиксируются на весь период выполнения работ по Договору</t>
  </si>
  <si>
    <t>2</t>
  </si>
  <si>
    <t>2.1</t>
  </si>
  <si>
    <t>2.1.4</t>
  </si>
  <si>
    <t>2.2</t>
  </si>
  <si>
    <t>2.2.1</t>
  </si>
  <si>
    <t>2.3</t>
  </si>
  <si>
    <t>2.3.1</t>
  </si>
  <si>
    <t xml:space="preserve">Дверные откосы 2-16 этаж МОП шириной до 200мм  </t>
  </si>
  <si>
    <t>Устройство высококачественной цементной штукатурки откосов стен толщ. до 20 мм по огрунтованной поверхности</t>
  </si>
  <si>
    <r>
      <t xml:space="preserve">Дверные откосы 2-16 этаж МОП шириной до 200мм </t>
    </r>
    <r>
      <rPr>
        <b/>
        <sz val="12"/>
        <color rgb="FFFF0000"/>
        <rFont val="Times New Roman"/>
        <family val="1"/>
        <charset val="204"/>
      </rPr>
      <t>СПРАВОЧНО - цементная</t>
    </r>
  </si>
  <si>
    <t>1.6</t>
  </si>
  <si>
    <t>1.6.1</t>
  </si>
  <si>
    <t>2.4</t>
  </si>
  <si>
    <t>2.4.1</t>
  </si>
  <si>
    <t xml:space="preserve">Стены 2-16 этаж Тип Б (санузлы апартаментов за вычетом проемов) </t>
  </si>
  <si>
    <t>Устройство высококачественной цементной штукатурки стен толщ. до 10 мм по огрунтованной поверхности</t>
  </si>
  <si>
    <t>- Цементная штукатурная смесь Кнауф Грюндбанд, Волма Акваслой толщ. до 10 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</si>
</sst>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31"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sz val="11"/>
      <color theme="1"/>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sz val="12"/>
      <color theme="1"/>
      <name val="Times New Roman"/>
      <family val="1"/>
      <charset val="204"/>
    </font>
    <font>
      <b/>
      <sz val="10"/>
      <name val="Times New Roman"/>
      <family val="1"/>
      <charset val="204"/>
    </font>
    <font>
      <sz val="10"/>
      <name val="Times New Roman"/>
      <family val="1"/>
      <charset val="204"/>
    </font>
    <font>
      <b/>
      <sz val="12"/>
      <color indexed="8"/>
      <name val="Times New Roman"/>
      <family val="1"/>
      <charset val="204"/>
    </font>
    <font>
      <sz val="12"/>
      <color indexed="8"/>
      <name val="Times New Roman"/>
      <family val="1"/>
      <charset val="204"/>
    </font>
    <font>
      <b/>
      <sz val="12"/>
      <color rgb="FFFF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FF"/>
        <bgColor auto="1"/>
      </patternFill>
    </fill>
    <fill>
      <patternFill patternType="solid">
        <fgColor rgb="FF00B050"/>
        <bgColor indexed="64"/>
      </patternFill>
    </fill>
    <fill>
      <patternFill patternType="solid">
        <fgColor theme="9" tint="0.59999389629810485"/>
        <bgColor indexed="64"/>
      </patternFill>
    </fill>
    <fill>
      <patternFill patternType="solid">
        <fgColor rgb="FF00B050"/>
        <bgColor rgb="FFF7CAAD"/>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indexed="64"/>
      </right>
      <top style="medium">
        <color indexed="64"/>
      </top>
      <bottom style="medium">
        <color indexed="64"/>
      </bottom>
      <diagonal/>
    </border>
  </borders>
  <cellStyleXfs count="13">
    <xf numFmtId="0" fontId="0" fillId="0" borderId="0"/>
    <xf numFmtId="0" fontId="12" fillId="0" borderId="0"/>
    <xf numFmtId="0" fontId="13" fillId="0" borderId="0"/>
    <xf numFmtId="0" fontId="4" fillId="0" borderId="0"/>
    <xf numFmtId="0" fontId="3" fillId="0" borderId="0"/>
    <xf numFmtId="43" fontId="16" fillId="0" borderId="0" applyFont="0" applyFill="0" applyBorder="0" applyAlignment="0" applyProtection="0"/>
    <xf numFmtId="0" fontId="2" fillId="0" borderId="0"/>
    <xf numFmtId="0" fontId="1" fillId="0" borderId="0"/>
    <xf numFmtId="0" fontId="1" fillId="0" borderId="0"/>
    <xf numFmtId="43" fontId="16" fillId="0" borderId="0" applyFont="0" applyFill="0" applyBorder="0" applyAlignment="0" applyProtection="0"/>
    <xf numFmtId="0" fontId="1" fillId="0" borderId="0"/>
    <xf numFmtId="0" fontId="13" fillId="0" borderId="0"/>
    <xf numFmtId="0" fontId="12" fillId="0" borderId="0"/>
  </cellStyleXfs>
  <cellXfs count="166">
    <xf numFmtId="0" fontId="0" fillId="0" borderId="0" xfId="0"/>
    <xf numFmtId="49" fontId="0" fillId="2" borderId="0" xfId="0" applyNumberFormat="1" applyFill="1" applyAlignment="1">
      <alignment wrapText="1"/>
    </xf>
    <xf numFmtId="49" fontId="5"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49" fontId="0" fillId="0" borderId="0" xfId="0" applyNumberFormat="1" applyAlignment="1">
      <alignment wrapText="1"/>
    </xf>
    <xf numFmtId="4" fontId="9" fillId="0" borderId="1" xfId="0" applyNumberFormat="1" applyFont="1" applyBorder="1" applyAlignment="1">
      <alignment horizontal="center" vertical="center"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49" fontId="17" fillId="2" borderId="0" xfId="0" applyNumberFormat="1" applyFont="1" applyFill="1" applyAlignment="1">
      <alignment vertical="center" wrapText="1"/>
    </xf>
    <xf numFmtId="49" fontId="6" fillId="2" borderId="0" xfId="0" applyNumberFormat="1" applyFont="1" applyFill="1" applyAlignment="1">
      <alignment wrapText="1"/>
    </xf>
    <xf numFmtId="2" fontId="19" fillId="0" borderId="0" xfId="6" applyNumberFormat="1" applyFont="1" applyAlignment="1">
      <alignment wrapText="1"/>
    </xf>
    <xf numFmtId="0" fontId="12" fillId="0" borderId="0" xfId="6" applyFont="1" applyAlignment="1">
      <alignment wrapText="1"/>
    </xf>
    <xf numFmtId="49" fontId="12" fillId="0" borderId="0" xfId="6" applyNumberFormat="1" applyFont="1"/>
    <xf numFmtId="0" fontId="20" fillId="0" borderId="0" xfId="6" applyFont="1" applyAlignment="1">
      <alignment horizontal="center"/>
    </xf>
    <xf numFmtId="4" fontId="24" fillId="2" borderId="0" xfId="0" applyNumberFormat="1" applyFont="1" applyFill="1" applyBorder="1" applyAlignment="1">
      <alignment horizontal="center"/>
    </xf>
    <xf numFmtId="49" fontId="0" fillId="2" borderId="0" xfId="0" applyNumberFormat="1" applyFill="1" applyAlignment="1">
      <alignment wrapText="1"/>
    </xf>
    <xf numFmtId="0" fontId="8" fillId="0" borderId="0" xfId="0" applyNumberFormat="1" applyFont="1" applyFill="1" applyBorder="1" applyAlignment="1" applyProtection="1">
      <alignment horizontal="left" vertical="center" wrapText="1" shrinkToFit="1"/>
    </xf>
    <xf numFmtId="2" fontId="19" fillId="0" borderId="0" xfId="10" applyNumberFormat="1" applyFont="1" applyAlignment="1">
      <alignment wrapText="1"/>
    </xf>
    <xf numFmtId="0" fontId="12" fillId="0" borderId="0" xfId="10" applyFont="1" applyAlignment="1">
      <alignment wrapText="1"/>
    </xf>
    <xf numFmtId="49" fontId="12" fillId="0" borderId="0" xfId="10" applyNumberFormat="1" applyFont="1"/>
    <xf numFmtId="0" fontId="20" fillId="0" borderId="0" xfId="10" applyFont="1" applyAlignment="1">
      <alignment horizontal="center"/>
    </xf>
    <xf numFmtId="2" fontId="19" fillId="0" borderId="0" xfId="10" applyNumberFormat="1" applyFont="1"/>
    <xf numFmtId="0" fontId="12" fillId="0" borderId="0" xfId="10" applyFont="1"/>
    <xf numFmtId="2" fontId="21" fillId="0" borderId="0" xfId="10" applyNumberFormat="1" applyFont="1"/>
    <xf numFmtId="0" fontId="20" fillId="0" borderId="0" xfId="10" applyFont="1"/>
    <xf numFmtId="0" fontId="22" fillId="0" borderId="0" xfId="10" applyFont="1"/>
    <xf numFmtId="49" fontId="0" fillId="2" borderId="0" xfId="0" applyNumberFormat="1" applyFill="1" applyAlignment="1">
      <alignment wrapText="1"/>
    </xf>
    <xf numFmtId="49" fontId="5" fillId="2" borderId="0" xfId="0" applyNumberFormat="1" applyFont="1" applyFill="1" applyAlignment="1">
      <alignment wrapText="1"/>
    </xf>
    <xf numFmtId="49" fontId="5" fillId="6" borderId="0" xfId="0" applyNumberFormat="1" applyFont="1" applyFill="1" applyAlignment="1">
      <alignment wrapText="1"/>
    </xf>
    <xf numFmtId="49" fontId="5" fillId="7" borderId="0" xfId="0" applyNumberFormat="1" applyFont="1" applyFill="1" applyAlignment="1">
      <alignment wrapText="1"/>
    </xf>
    <xf numFmtId="49" fontId="5" fillId="0" borderId="0" xfId="0" applyNumberFormat="1" applyFont="1" applyFill="1" applyAlignment="1">
      <alignment wrapText="1"/>
    </xf>
    <xf numFmtId="49" fontId="6" fillId="0" borderId="0" xfId="0" applyNumberFormat="1" applyFont="1" applyAlignment="1">
      <alignment horizontal="center" wrapText="1"/>
    </xf>
    <xf numFmtId="4" fontId="6" fillId="0" borderId="0" xfId="0" applyNumberFormat="1" applyFont="1" applyAlignment="1">
      <alignment horizontal="center" wrapText="1"/>
    </xf>
    <xf numFmtId="4" fontId="0" fillId="2" borderId="0" xfId="0" applyNumberFormat="1" applyFill="1" applyAlignment="1">
      <alignmen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wrapText="1"/>
    </xf>
    <xf numFmtId="4" fontId="0" fillId="0" borderId="0" xfId="0" applyNumberFormat="1" applyAlignment="1">
      <alignment horizontal="center" vertical="center" wrapText="1"/>
    </xf>
    <xf numFmtId="4" fontId="0" fillId="0" borderId="0" xfId="0" applyNumberFormat="1" applyAlignment="1">
      <alignment horizontal="center" wrapText="1"/>
    </xf>
    <xf numFmtId="4" fontId="8" fillId="0" borderId="0" xfId="0" applyNumberFormat="1" applyFont="1" applyFill="1" applyBorder="1" applyAlignment="1" applyProtection="1">
      <alignment horizontal="left" vertical="center" wrapText="1" shrinkToFit="1"/>
    </xf>
    <xf numFmtId="4" fontId="8" fillId="0" borderId="0" xfId="0" applyNumberFormat="1" applyFont="1" applyFill="1" applyBorder="1" applyAlignment="1" applyProtection="1">
      <alignment horizontal="center" vertical="center" wrapText="1" shrinkToFit="1"/>
    </xf>
    <xf numFmtId="4" fontId="0" fillId="2" borderId="0" xfId="0" applyNumberFormat="1" applyFill="1" applyBorder="1" applyAlignment="1">
      <alignment horizontal="center" vertical="center" wrapText="1"/>
    </xf>
    <xf numFmtId="4" fontId="0" fillId="2" borderId="0" xfId="0" applyNumberFormat="1" applyFill="1" applyAlignment="1">
      <alignment horizontal="center" vertical="center" wrapText="1"/>
    </xf>
    <xf numFmtId="4" fontId="12" fillId="2" borderId="0" xfId="0" applyNumberFormat="1" applyFont="1" applyFill="1" applyBorder="1" applyAlignment="1"/>
    <xf numFmtId="3" fontId="23" fillId="2" borderId="0" xfId="0" applyNumberFormat="1" applyFont="1" applyFill="1" applyBorder="1" applyAlignment="1"/>
    <xf numFmtId="49" fontId="26" fillId="0" borderId="0" xfId="6" applyNumberFormat="1" applyFont="1" applyAlignment="1"/>
    <xf numFmtId="0" fontId="27" fillId="0" borderId="0" xfId="0" applyFont="1"/>
    <xf numFmtId="0" fontId="27" fillId="0" borderId="0" xfId="0" applyFont="1" applyAlignment="1">
      <alignment horizontal="left"/>
    </xf>
    <xf numFmtId="4" fontId="12" fillId="2" borderId="5" xfId="0" applyNumberFormat="1" applyFont="1" applyFill="1" applyBorder="1" applyAlignment="1">
      <alignment horizontal="left" vertical="center"/>
    </xf>
    <xf numFmtId="3" fontId="23" fillId="2" borderId="5" xfId="0" applyNumberFormat="1" applyFont="1" applyFill="1" applyBorder="1" applyAlignment="1">
      <alignment horizontal="left" vertical="center"/>
    </xf>
    <xf numFmtId="4" fontId="24" fillId="2" borderId="5" xfId="0" applyNumberFormat="1" applyFont="1" applyFill="1" applyBorder="1" applyAlignment="1">
      <alignment horizontal="left" vertical="center"/>
    </xf>
    <xf numFmtId="2" fontId="19" fillId="0" borderId="0" xfId="6" applyNumberFormat="1" applyFont="1" applyAlignment="1">
      <alignment horizontal="left" vertical="center" wrapText="1"/>
    </xf>
    <xf numFmtId="49" fontId="0" fillId="2" borderId="0" xfId="0" applyNumberFormat="1" applyFill="1" applyAlignment="1">
      <alignment horizontal="left" vertical="center" wrapText="1"/>
    </xf>
    <xf numFmtId="49" fontId="26" fillId="0" borderId="0" xfId="6" applyNumberFormat="1" applyFont="1" applyBorder="1" applyAlignment="1"/>
    <xf numFmtId="4" fontId="27" fillId="5" borderId="0" xfId="6" applyNumberFormat="1" applyFont="1" applyFill="1" applyBorder="1" applyAlignment="1">
      <alignment vertical="center" wrapText="1"/>
    </xf>
    <xf numFmtId="4" fontId="27" fillId="0" borderId="0" xfId="6" applyNumberFormat="1" applyFont="1" applyBorder="1" applyAlignment="1">
      <alignment vertical="center" wrapText="1"/>
    </xf>
    <xf numFmtId="49" fontId="27" fillId="5" borderId="0" xfId="6" applyNumberFormat="1" applyFont="1" applyFill="1" applyBorder="1" applyAlignment="1">
      <alignment vertical="center" wrapText="1"/>
    </xf>
    <xf numFmtId="4" fontId="17" fillId="0" borderId="0" xfId="0" applyNumberFormat="1" applyFont="1" applyAlignment="1">
      <alignment wrapText="1"/>
    </xf>
    <xf numFmtId="49" fontId="17" fillId="2" borderId="0" xfId="0" applyNumberFormat="1" applyFont="1" applyFill="1" applyBorder="1" applyAlignment="1">
      <alignment wrapText="1"/>
    </xf>
    <xf numFmtId="49" fontId="17" fillId="2" borderId="0" xfId="0" applyNumberFormat="1" applyFont="1" applyFill="1" applyAlignment="1">
      <alignment wrapText="1"/>
    </xf>
    <xf numFmtId="49" fontId="28"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9" fontId="28" fillId="4" borderId="1" xfId="0" applyNumberFormat="1" applyFont="1" applyFill="1" applyBorder="1" applyAlignment="1">
      <alignment horizontal="center" vertical="center" wrapText="1"/>
    </xf>
    <xf numFmtId="49" fontId="15" fillId="4" borderId="1" xfId="0" applyNumberFormat="1" applyFont="1" applyFill="1" applyBorder="1" applyAlignment="1">
      <alignment horizontal="left" vertical="center" wrapText="1"/>
    </xf>
    <xf numFmtId="49" fontId="25" fillId="4" borderId="1" xfId="0" applyNumberFormat="1" applyFont="1" applyFill="1" applyBorder="1" applyAlignment="1">
      <alignment horizontal="center" vertical="center" wrapText="1"/>
    </xf>
    <xf numFmtId="49" fontId="28" fillId="7" borderId="1" xfId="0" applyNumberFormat="1" applyFont="1" applyFill="1" applyBorder="1" applyAlignment="1">
      <alignment horizontal="center" vertical="center" wrapText="1"/>
    </xf>
    <xf numFmtId="49" fontId="15" fillId="7" borderId="1" xfId="0" applyNumberFormat="1" applyFont="1" applyFill="1" applyBorder="1" applyAlignment="1">
      <alignment horizontal="left" vertical="center" wrapText="1"/>
    </xf>
    <xf numFmtId="49" fontId="25" fillId="7" borderId="1" xfId="0" applyNumberFormat="1" applyFont="1" applyFill="1" applyBorder="1" applyAlignment="1">
      <alignment horizontal="center" vertical="center" wrapText="1"/>
    </xf>
    <xf numFmtId="49" fontId="15"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4" fontId="6" fillId="0" borderId="0" xfId="0" applyNumberFormat="1" applyFont="1" applyAlignment="1">
      <alignment horizontal="left" wrapText="1"/>
    </xf>
    <xf numFmtId="49" fontId="30" fillId="7" borderId="0" xfId="0" applyNumberFormat="1" applyFont="1" applyFill="1" applyAlignment="1"/>
    <xf numFmtId="0" fontId="6" fillId="0" borderId="0" xfId="0" applyFont="1" applyFill="1" applyBorder="1" applyAlignment="1">
      <alignment horizontal="left" vertical="center" wrapText="1"/>
    </xf>
    <xf numFmtId="0" fontId="6" fillId="0" borderId="0" xfId="0" applyFont="1" applyBorder="1" applyAlignment="1">
      <alignment horizontal="center" vertical="center" wrapText="1"/>
    </xf>
    <xf numFmtId="4" fontId="6" fillId="0" borderId="0" xfId="5" applyNumberFormat="1" applyFont="1" applyBorder="1" applyAlignment="1">
      <alignment horizontal="center" vertical="center" wrapText="1"/>
    </xf>
    <xf numFmtId="43" fontId="8" fillId="3" borderId="0" xfId="5" applyFont="1" applyFill="1" applyBorder="1" applyAlignment="1">
      <alignment horizontal="center" vertical="center" wrapText="1"/>
    </xf>
    <xf numFmtId="43" fontId="9" fillId="0" borderId="0" xfId="5"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5" fillId="0" borderId="0" xfId="0" applyNumberFormat="1" applyFont="1" applyFill="1" applyBorder="1" applyAlignment="1">
      <alignment wrapText="1"/>
    </xf>
    <xf numFmtId="0" fontId="6" fillId="0" borderId="1" xfId="0" applyFont="1" applyFill="1" applyBorder="1" applyAlignment="1">
      <alignment horizontal="right" vertical="center" wrapText="1"/>
    </xf>
    <xf numFmtId="43" fontId="10" fillId="3" borderId="0" xfId="5" applyFont="1" applyFill="1" applyBorder="1" applyAlignment="1">
      <alignment horizontal="center" vertical="center" wrapText="1"/>
    </xf>
    <xf numFmtId="49" fontId="28" fillId="9" borderId="1" xfId="0" applyNumberFormat="1" applyFont="1" applyFill="1" applyBorder="1" applyAlignment="1">
      <alignment horizontal="center" vertical="center" wrapText="1"/>
    </xf>
    <xf numFmtId="0" fontId="15" fillId="9" borderId="1" xfId="0" applyFont="1" applyFill="1" applyBorder="1" applyAlignment="1">
      <alignment horizontal="right" vertical="center" wrapText="1"/>
    </xf>
    <xf numFmtId="0" fontId="15" fillId="9" borderId="1" xfId="0" applyFont="1" applyFill="1" applyBorder="1" applyAlignment="1">
      <alignment horizontal="center" vertical="center" wrapText="1"/>
    </xf>
    <xf numFmtId="4" fontId="6" fillId="0" borderId="1" xfId="5"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9" fontId="25" fillId="0" borderId="0" xfId="0" applyNumberFormat="1" applyFont="1" applyFill="1" applyAlignment="1">
      <alignment wrapText="1"/>
    </xf>
    <xf numFmtId="4" fontId="5" fillId="7" borderId="1" xfId="0" applyNumberFormat="1" applyFont="1" applyFill="1" applyBorder="1" applyAlignment="1">
      <alignment horizontal="center" vertical="center" wrapText="1"/>
    </xf>
    <xf numFmtId="49" fontId="5" fillId="7" borderId="1" xfId="0" applyNumberFormat="1" applyFont="1" applyFill="1" applyBorder="1" applyAlignment="1">
      <alignment horizontal="left" vertical="center" wrapText="1"/>
    </xf>
    <xf numFmtId="0" fontId="0" fillId="0" borderId="0" xfId="0" applyAlignment="1">
      <alignment horizontal="center"/>
    </xf>
    <xf numFmtId="16" fontId="0" fillId="0" borderId="0" xfId="0" applyNumberFormat="1"/>
    <xf numFmtId="0" fontId="17" fillId="0" borderId="0" xfId="0" applyFont="1"/>
    <xf numFmtId="0" fontId="0" fillId="0" borderId="0" xfId="0" applyAlignment="1">
      <alignment horizontal="center" wrapText="1"/>
    </xf>
    <xf numFmtId="49" fontId="6" fillId="0" borderId="1" xfId="0" applyNumberFormat="1" applyFont="1" applyBorder="1" applyAlignment="1">
      <alignment horizontal="right" vertical="center" wrapText="1"/>
    </xf>
    <xf numFmtId="0" fontId="12" fillId="0" borderId="0" xfId="10" applyFont="1" applyAlignment="1">
      <alignment horizontal="left" wrapText="1"/>
    </xf>
    <xf numFmtId="4" fontId="14" fillId="0" borderId="0" xfId="0" applyNumberFormat="1" applyFont="1" applyAlignment="1">
      <alignment horizontal="center" vertical="center" wrapText="1"/>
    </xf>
    <xf numFmtId="4" fontId="9" fillId="0" borderId="1" xfId="0" applyNumberFormat="1" applyFont="1" applyBorder="1" applyAlignment="1" applyProtection="1">
      <alignment horizontal="center" vertical="center" wrapText="1"/>
      <protection locked="0"/>
    </xf>
    <xf numFmtId="4" fontId="9" fillId="10" borderId="1" xfId="0" applyNumberFormat="1" applyFont="1" applyFill="1" applyBorder="1" applyAlignment="1" applyProtection="1">
      <alignment horizontal="center" vertical="center" wrapText="1"/>
      <protection locked="0"/>
    </xf>
    <xf numFmtId="4" fontId="25" fillId="6" borderId="1" xfId="0" applyNumberFormat="1"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4" fontId="25" fillId="0" borderId="1" xfId="5" applyNumberFormat="1" applyFont="1" applyFill="1" applyBorder="1" applyAlignment="1">
      <alignment horizontal="center" vertical="center" wrapText="1"/>
    </xf>
    <xf numFmtId="4" fontId="30" fillId="7"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15" fillId="9" borderId="1" xfId="5" applyNumberFormat="1" applyFont="1" applyFill="1" applyBorder="1" applyAlignment="1">
      <alignment horizontal="center" vertical="center" wrapText="1"/>
    </xf>
    <xf numFmtId="4" fontId="6" fillId="0" borderId="1" xfId="5" applyNumberFormat="1" applyFont="1" applyBorder="1" applyAlignment="1">
      <alignment horizontal="center" vertical="center" wrapText="1"/>
    </xf>
    <xf numFmtId="4" fontId="6" fillId="5" borderId="1" xfId="5" applyNumberFormat="1" applyFont="1" applyFill="1" applyBorder="1" applyAlignment="1">
      <alignment horizontal="center" vertical="center" wrapText="1"/>
    </xf>
    <xf numFmtId="4" fontId="8" fillId="3" borderId="1" xfId="5" applyNumberFormat="1" applyFont="1" applyFill="1" applyBorder="1" applyAlignment="1">
      <alignment horizontal="center" vertical="center" wrapText="1"/>
    </xf>
    <xf numFmtId="4" fontId="15" fillId="6" borderId="1" xfId="5" applyNumberFormat="1"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4" fontId="8" fillId="0" borderId="1" xfId="5" applyNumberFormat="1" applyFont="1" applyFill="1" applyBorder="1" applyAlignment="1">
      <alignment horizontal="center" vertical="center" wrapText="1"/>
    </xf>
    <xf numFmtId="4" fontId="6" fillId="9" borderId="1" xfId="5" applyNumberFormat="1" applyFont="1" applyFill="1" applyBorder="1" applyAlignment="1">
      <alignment horizontal="center" vertical="center" wrapText="1"/>
    </xf>
    <xf numFmtId="4" fontId="6" fillId="4" borderId="1" xfId="5" applyNumberFormat="1" applyFont="1" applyFill="1" applyBorder="1" applyAlignment="1">
      <alignment vertical="center" wrapText="1"/>
    </xf>
    <xf numFmtId="4" fontId="6" fillId="3" borderId="1" xfId="5" applyNumberFormat="1" applyFont="1" applyFill="1" applyBorder="1" applyAlignment="1">
      <alignment horizontal="center" vertical="center" wrapText="1"/>
    </xf>
    <xf numFmtId="4" fontId="6" fillId="7" borderId="1" xfId="5" applyNumberFormat="1" applyFont="1" applyFill="1" applyBorder="1" applyAlignment="1">
      <alignment horizontal="center" vertical="center" wrapText="1"/>
    </xf>
    <xf numFmtId="4" fontId="15" fillId="4" borderId="1" xfId="5" applyNumberFormat="1" applyFont="1" applyFill="1" applyBorder="1" applyAlignment="1">
      <alignment horizontal="center" vertical="center" wrapText="1"/>
    </xf>
    <xf numFmtId="4" fontId="6" fillId="6" borderId="1" xfId="5" applyNumberFormat="1" applyFont="1" applyFill="1" applyBorder="1" applyAlignment="1">
      <alignment vertical="center" wrapText="1"/>
    </xf>
    <xf numFmtId="0" fontId="15" fillId="0" borderId="1" xfId="0" applyFont="1" applyFill="1" applyBorder="1" applyAlignment="1">
      <alignment horizontal="left" vertical="center" wrapText="1"/>
    </xf>
    <xf numFmtId="164" fontId="26" fillId="11" borderId="1" xfId="0" applyNumberFormat="1" applyFont="1" applyFill="1" applyBorder="1" applyAlignment="1">
      <alignment horizontal="center" vertical="center"/>
    </xf>
    <xf numFmtId="4" fontId="9" fillId="0" borderId="13" xfId="0" applyNumberFormat="1" applyFont="1" applyBorder="1" applyAlignment="1" applyProtection="1">
      <alignment horizontal="center" vertical="center" wrapText="1"/>
      <protection locked="0"/>
    </xf>
    <xf numFmtId="4" fontId="9" fillId="0" borderId="4" xfId="0" applyNumberFormat="1" applyFont="1" applyBorder="1" applyAlignment="1" applyProtection="1">
      <alignment horizontal="center" vertical="center" wrapText="1"/>
      <protection locked="0"/>
    </xf>
    <xf numFmtId="4" fontId="0" fillId="0" borderId="0" xfId="0" applyNumberFormat="1" applyAlignment="1">
      <alignment horizontal="left" wrapText="1"/>
    </xf>
    <xf numFmtId="4" fontId="14" fillId="0" borderId="0" xfId="0" applyNumberFormat="1" applyFont="1" applyAlignment="1">
      <alignment horizontal="center" vertical="center" wrapText="1"/>
    </xf>
    <xf numFmtId="4" fontId="6" fillId="5" borderId="1" xfId="0" applyNumberFormat="1" applyFont="1" applyFill="1" applyBorder="1" applyAlignment="1">
      <alignment horizontal="center" wrapText="1"/>
    </xf>
    <xf numFmtId="0" fontId="8" fillId="0" borderId="6" xfId="0" applyNumberFormat="1" applyFont="1" applyFill="1" applyBorder="1" applyAlignment="1" applyProtection="1">
      <alignment horizontal="left" vertical="center" wrapText="1" shrinkToFit="1"/>
    </xf>
    <xf numFmtId="0" fontId="8" fillId="0" borderId="5" xfId="0" applyNumberFormat="1" applyFont="1" applyFill="1" applyBorder="1" applyAlignment="1" applyProtection="1">
      <alignment horizontal="left" vertical="center" wrapText="1" shrinkToFit="1"/>
    </xf>
    <xf numFmtId="4" fontId="9" fillId="0" borderId="1" xfId="0" applyNumberFormat="1" applyFont="1" applyBorder="1" applyAlignment="1" applyProtection="1">
      <alignment horizontal="center" vertical="center" wrapText="1"/>
      <protection locked="0"/>
    </xf>
    <xf numFmtId="4" fontId="11" fillId="0" borderId="1" xfId="0" applyNumberFormat="1" applyFont="1" applyBorder="1" applyAlignment="1" applyProtection="1">
      <alignment horizontal="center" vertical="center" wrapText="1"/>
      <protection locked="0"/>
    </xf>
    <xf numFmtId="4" fontId="9" fillId="0" borderId="1" xfId="0" applyNumberFormat="1" applyFont="1" applyBorder="1" applyAlignment="1">
      <alignment horizontal="center" vertical="center" wrapText="1"/>
    </xf>
    <xf numFmtId="49" fontId="17" fillId="2" borderId="0" xfId="0" applyNumberFormat="1" applyFont="1" applyFill="1" applyAlignment="1">
      <alignment horizontal="left" wrapText="1"/>
    </xf>
    <xf numFmtId="4" fontId="27" fillId="0" borderId="2" xfId="6" applyNumberFormat="1" applyFont="1" applyBorder="1" applyAlignment="1">
      <alignment horizontal="left" wrapText="1"/>
    </xf>
    <xf numFmtId="4" fontId="27" fillId="0" borderId="4" xfId="6" applyNumberFormat="1" applyFont="1" applyBorder="1" applyAlignment="1">
      <alignment horizontal="left" wrapText="1"/>
    </xf>
    <xf numFmtId="0" fontId="19" fillId="0" borderId="0" xfId="10" applyFont="1" applyAlignment="1">
      <alignment horizontal="left" vertical="center" wrapText="1"/>
    </xf>
    <xf numFmtId="49" fontId="15" fillId="2" borderId="0" xfId="0" applyNumberFormat="1" applyFont="1" applyFill="1" applyAlignment="1">
      <alignment horizontal="left" wrapText="1"/>
    </xf>
    <xf numFmtId="49" fontId="18" fillId="2" borderId="0" xfId="0" applyNumberFormat="1" applyFont="1" applyFill="1" applyAlignment="1">
      <alignment horizontal="left" wrapText="1"/>
    </xf>
    <xf numFmtId="4" fontId="27" fillId="5" borderId="2" xfId="6" applyNumberFormat="1" applyFont="1" applyFill="1" applyBorder="1" applyAlignment="1">
      <alignment horizontal="center" vertical="center" wrapText="1"/>
    </xf>
    <xf numFmtId="4" fontId="27" fillId="5" borderId="3" xfId="6" applyNumberFormat="1" applyFont="1" applyFill="1" applyBorder="1" applyAlignment="1">
      <alignment horizontal="center" vertical="center" wrapText="1"/>
    </xf>
    <xf numFmtId="4" fontId="27" fillId="5" borderId="4" xfId="6" applyNumberFormat="1" applyFont="1" applyFill="1" applyBorder="1" applyAlignment="1">
      <alignment horizontal="center" vertical="center" wrapText="1"/>
    </xf>
    <xf numFmtId="4" fontId="27" fillId="0" borderId="2" xfId="6" applyNumberFormat="1" applyFont="1" applyBorder="1" applyAlignment="1">
      <alignment horizontal="left" vertical="center" wrapText="1"/>
    </xf>
    <xf numFmtId="4" fontId="27" fillId="0" borderId="4" xfId="6" applyNumberFormat="1" applyFont="1" applyBorder="1" applyAlignment="1">
      <alignment horizontal="left" vertical="center" wrapText="1"/>
    </xf>
    <xf numFmtId="4" fontId="27" fillId="0" borderId="1" xfId="6" applyNumberFormat="1" applyFont="1" applyBorder="1" applyAlignment="1">
      <alignment horizontal="center" vertical="center" wrapText="1"/>
    </xf>
    <xf numFmtId="0" fontId="8" fillId="0" borderId="2" xfId="0" applyNumberFormat="1" applyFont="1" applyFill="1" applyBorder="1" applyAlignment="1" applyProtection="1">
      <alignment horizontal="left" vertical="center" wrapText="1" shrinkToFit="1"/>
    </xf>
    <xf numFmtId="0" fontId="8" fillId="0" borderId="3" xfId="0" applyNumberFormat="1" applyFont="1" applyFill="1" applyBorder="1" applyAlignment="1" applyProtection="1">
      <alignment horizontal="left" vertical="center" wrapText="1" shrinkToFit="1"/>
    </xf>
    <xf numFmtId="4" fontId="27" fillId="5" borderId="1" xfId="6" applyNumberFormat="1" applyFont="1" applyFill="1" applyBorder="1" applyAlignment="1">
      <alignment horizontal="center" vertical="center" wrapText="1"/>
    </xf>
    <xf numFmtId="0" fontId="12" fillId="0" borderId="0" xfId="10" applyFont="1" applyAlignment="1">
      <alignment horizontal="left" wrapText="1"/>
    </xf>
    <xf numFmtId="0" fontId="8" fillId="3" borderId="2" xfId="0" applyNumberFormat="1" applyFont="1" applyFill="1" applyBorder="1" applyAlignment="1" applyProtection="1">
      <alignment horizontal="left" vertical="center" wrapText="1" shrinkToFit="1"/>
    </xf>
    <xf numFmtId="0" fontId="8" fillId="3" borderId="3" xfId="0" applyNumberFormat="1" applyFont="1" applyFill="1" applyBorder="1" applyAlignment="1" applyProtection="1">
      <alignment horizontal="left" vertical="center" wrapText="1" shrinkToFit="1"/>
    </xf>
    <xf numFmtId="4" fontId="27" fillId="0" borderId="2" xfId="6" applyNumberFormat="1" applyFont="1" applyBorder="1" applyAlignment="1">
      <alignment horizontal="right" wrapText="1"/>
    </xf>
    <xf numFmtId="4" fontId="27" fillId="0" borderId="4" xfId="6" applyNumberFormat="1" applyFont="1" applyBorder="1" applyAlignment="1">
      <alignment horizontal="right" wrapText="1"/>
    </xf>
    <xf numFmtId="4" fontId="27" fillId="0" borderId="2" xfId="6" applyNumberFormat="1" applyFont="1" applyBorder="1" applyAlignment="1">
      <alignment horizontal="center" vertical="center" wrapText="1"/>
    </xf>
    <xf numFmtId="4" fontId="27" fillId="0" borderId="3" xfId="6" applyNumberFormat="1" applyFont="1" applyBorder="1" applyAlignment="1">
      <alignment horizontal="center" vertical="center" wrapText="1"/>
    </xf>
    <xf numFmtId="4" fontId="27" fillId="0" borderId="4" xfId="6" applyNumberFormat="1" applyFont="1" applyBorder="1" applyAlignment="1">
      <alignment horizontal="center" vertical="center" wrapText="1"/>
    </xf>
    <xf numFmtId="49" fontId="7" fillId="3" borderId="9" xfId="0"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6" fillId="5" borderId="11" xfId="0" applyNumberFormat="1" applyFont="1" applyFill="1" applyBorder="1" applyAlignment="1">
      <alignment horizontal="center" vertical="center" wrapText="1"/>
    </xf>
    <xf numFmtId="4" fontId="6" fillId="8" borderId="7" xfId="0" applyNumberFormat="1" applyFont="1" applyFill="1" applyBorder="1" applyAlignment="1">
      <alignment horizontal="left" vertical="center" wrapText="1"/>
    </xf>
    <xf numFmtId="4" fontId="6" fillId="8" borderId="8" xfId="0" applyNumberFormat="1" applyFont="1" applyFill="1" applyBorder="1" applyAlignment="1">
      <alignment horizontal="left" vertical="center" wrapText="1"/>
    </xf>
    <xf numFmtId="4" fontId="6" fillId="8" borderId="12" xfId="0" applyNumberFormat="1" applyFont="1" applyFill="1" applyBorder="1" applyAlignment="1">
      <alignment horizontal="left" vertical="center" wrapText="1"/>
    </xf>
    <xf numFmtId="4" fontId="6" fillId="8" borderId="10" xfId="0" applyNumberFormat="1" applyFont="1" applyFill="1" applyBorder="1" applyAlignment="1">
      <alignment horizontal="left" vertical="center" wrapText="1"/>
    </xf>
  </cellXfs>
  <cellStyles count="13">
    <cellStyle name="Обычный" xfId="0" builtinId="0"/>
    <cellStyle name="Обычный 2" xfId="1"/>
    <cellStyle name="Обычный 2 3 2" xfId="12"/>
    <cellStyle name="Обычный 3" xfId="3"/>
    <cellStyle name="Обычный 3 2" xfId="6"/>
    <cellStyle name="Обычный 3 2 2" xfId="10"/>
    <cellStyle name="Обычный 3 3" xfId="7"/>
    <cellStyle name="Обычный 4" xfId="4"/>
    <cellStyle name="Обычный 4 2" xfId="8"/>
    <cellStyle name="Обычный 5 2" xfId="2"/>
    <cellStyle name="Обычный 7" xfId="11"/>
    <cellStyle name="Финансовый" xfId="5" builtinId="3"/>
    <cellStyle name="Финансовый 2"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F121"/>
  <sheetViews>
    <sheetView tabSelected="1" view="pageBreakPreview" topLeftCell="A10" zoomScale="70" zoomScaleNormal="70" zoomScaleSheetLayoutView="70" workbookViewId="0">
      <selection activeCell="AQ30" sqref="AQ30"/>
    </sheetView>
  </sheetViews>
  <sheetFormatPr defaultColWidth="10.875" defaultRowHeight="15.75" outlineLevelRow="2" outlineLevelCol="3" x14ac:dyDescent="0.25"/>
  <cols>
    <col min="1" max="1" width="10.125" style="1" customWidth="1"/>
    <col min="2" max="2" width="7.875" style="4" customWidth="1"/>
    <col min="3" max="3" width="97.25" style="61" customWidth="1"/>
    <col min="4" max="4" width="7" style="3" bestFit="1" customWidth="1"/>
    <col min="5" max="5" width="9.875" style="3" customWidth="1"/>
    <col min="6" max="6" width="13.125" style="44" customWidth="1"/>
    <col min="7" max="7" width="13.125" style="44" customWidth="1" outlineLevel="1" collapsed="1"/>
    <col min="8" max="24" width="13.125" style="44" hidden="1" customWidth="1" outlineLevel="2"/>
    <col min="25" max="25" width="13.125" style="44" customWidth="1" outlineLevel="1" collapsed="1"/>
    <col min="26" max="42" width="13.125" style="44" hidden="1" customWidth="1" outlineLevel="3"/>
    <col min="43" max="43" width="13.125" style="44" customWidth="1" outlineLevel="1" collapsed="1"/>
    <col min="44" max="60" width="13.125" style="44" hidden="1" customWidth="1" outlineLevel="2"/>
    <col min="61" max="61" width="13.125" style="44" customWidth="1" outlineLevel="1" collapsed="1"/>
    <col min="62" max="78" width="13.125" style="44" hidden="1" customWidth="1" outlineLevel="2"/>
    <col min="79" max="79" width="13.125" style="44" customWidth="1" outlineLevel="1" collapsed="1"/>
    <col min="80" max="96" width="13.125" style="44" hidden="1" customWidth="1" outlineLevel="2"/>
    <col min="97" max="97" width="13.125" style="44" customWidth="1" outlineLevel="1" collapsed="1"/>
    <col min="98" max="114" width="13.125" style="44" hidden="1" customWidth="1" outlineLevel="2"/>
    <col min="115" max="115" width="13.125" style="44" customWidth="1" outlineLevel="1" collapsed="1"/>
    <col min="116" max="126" width="13.125" style="44" hidden="1" customWidth="1" outlineLevel="2"/>
    <col min="127" max="127" width="12.125" style="1" customWidth="1"/>
    <col min="128" max="128" width="13" style="1" customWidth="1"/>
    <col min="129" max="129" width="13.625" style="1" customWidth="1"/>
    <col min="130" max="130" width="17.125" style="1" customWidth="1"/>
    <col min="131" max="131" width="16.5" style="1" customWidth="1"/>
    <col min="132" max="132" width="17.875" style="1" customWidth="1"/>
    <col min="133" max="133" width="31.25" style="1" customWidth="1"/>
    <col min="134" max="134" width="10.875" style="1" customWidth="1"/>
    <col min="135" max="135" width="6.625" style="1" customWidth="1"/>
    <col min="136" max="16384" width="10.875" style="1"/>
  </cols>
  <sheetData>
    <row r="1" spans="1:133" s="28" customFormat="1" x14ac:dyDescent="0.25">
      <c r="A1" s="36"/>
      <c r="B1" s="37"/>
      <c r="C1" s="59"/>
      <c r="D1" s="40"/>
      <c r="E1" s="40"/>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8"/>
      <c r="DX1" s="38"/>
      <c r="DY1" s="38"/>
      <c r="DZ1" s="38"/>
      <c r="EA1" s="38"/>
    </row>
    <row r="2" spans="1:133" s="28" customFormat="1" x14ac:dyDescent="0.25">
      <c r="A2" s="36"/>
      <c r="B2" s="37"/>
      <c r="C2" s="59"/>
      <c r="D2" s="40"/>
      <c r="E2" s="40"/>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8"/>
      <c r="DX2" s="38"/>
      <c r="DY2" s="38"/>
      <c r="DZ2" s="38"/>
      <c r="EA2" s="38"/>
    </row>
    <row r="3" spans="1:133" s="28" customFormat="1" x14ac:dyDescent="0.25">
      <c r="A3" s="127" t="s">
        <v>50</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38"/>
      <c r="DZ3" s="38"/>
      <c r="EA3" s="38"/>
    </row>
    <row r="4" spans="1:133" s="28" customFormat="1" x14ac:dyDescent="0.25">
      <c r="A4" s="127" t="s">
        <v>125</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38"/>
      <c r="DZ4" s="38"/>
      <c r="EA4" s="38"/>
    </row>
    <row r="5" spans="1:133" s="28" customFormat="1" x14ac:dyDescent="0.25">
      <c r="A5" s="36"/>
      <c r="B5" s="37"/>
      <c r="C5" s="59"/>
      <c r="D5" s="40"/>
      <c r="E5" s="40"/>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8"/>
      <c r="DX5" s="38"/>
      <c r="DY5" s="38"/>
      <c r="DZ5" s="38"/>
      <c r="EA5" s="38"/>
    </row>
    <row r="6" spans="1:133" s="28" customFormat="1" ht="22.5" x14ac:dyDescent="0.25">
      <c r="A6" s="33"/>
      <c r="B6" s="34"/>
      <c r="C6" s="128" t="s">
        <v>51</v>
      </c>
      <c r="D6" s="128"/>
      <c r="E6" s="102"/>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35"/>
      <c r="DX6" s="35"/>
      <c r="DY6" s="35"/>
      <c r="DZ6" s="35"/>
      <c r="EA6" s="35"/>
    </row>
    <row r="7" spans="1:133" s="28" customFormat="1" x14ac:dyDescent="0.25">
      <c r="A7" s="33"/>
      <c r="B7" s="34"/>
      <c r="C7" s="34"/>
      <c r="D7" s="34"/>
      <c r="E7" s="3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35"/>
      <c r="DX7" s="35"/>
      <c r="DY7" s="35"/>
      <c r="DZ7" s="35"/>
      <c r="EA7" s="35"/>
    </row>
    <row r="8" spans="1:133" s="28" customFormat="1" ht="15.75" customHeight="1" x14ac:dyDescent="0.25">
      <c r="A8" s="33"/>
      <c r="B8" s="34"/>
      <c r="C8" s="34"/>
      <c r="D8" s="162" t="s">
        <v>41</v>
      </c>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0"/>
      <c r="DX8" s="160"/>
      <c r="DY8" s="160"/>
      <c r="DZ8" s="160"/>
      <c r="EA8" s="160"/>
      <c r="EB8" s="160"/>
    </row>
    <row r="9" spans="1:133" s="28" customFormat="1" x14ac:dyDescent="0.25">
      <c r="A9" s="129"/>
      <c r="B9" s="129"/>
      <c r="C9" s="76" t="s">
        <v>42</v>
      </c>
      <c r="D9" s="162" t="s">
        <v>43</v>
      </c>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0"/>
      <c r="DX9" s="160"/>
      <c r="DY9" s="160"/>
      <c r="DZ9" s="160"/>
      <c r="EA9" s="160"/>
      <c r="EB9" s="160"/>
    </row>
    <row r="10" spans="1:133" s="5" customFormat="1" ht="15.75" customHeight="1" x14ac:dyDescent="0.25">
      <c r="A10" s="33"/>
      <c r="B10" s="34"/>
      <c r="C10" s="34"/>
      <c r="D10" s="162" t="s">
        <v>44</v>
      </c>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0"/>
      <c r="DX10" s="160"/>
      <c r="DY10" s="160"/>
      <c r="DZ10" s="160"/>
      <c r="EA10" s="160"/>
      <c r="EB10" s="160"/>
    </row>
    <row r="11" spans="1:133" s="5" customFormat="1" ht="15.75" customHeight="1" x14ac:dyDescent="0.25">
      <c r="A11" s="33"/>
      <c r="B11" s="34"/>
      <c r="C11" s="34"/>
      <c r="D11" s="162" t="s">
        <v>45</v>
      </c>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0"/>
      <c r="DX11" s="160"/>
      <c r="DY11" s="160"/>
      <c r="DZ11" s="160"/>
      <c r="EA11" s="160"/>
      <c r="EB11" s="160"/>
    </row>
    <row r="12" spans="1:133" s="5" customFormat="1" ht="15.75" customHeight="1" x14ac:dyDescent="0.25">
      <c r="A12" s="33"/>
      <c r="B12" s="34"/>
      <c r="C12" s="34"/>
      <c r="D12" s="162" t="s">
        <v>46</v>
      </c>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0"/>
      <c r="DX12" s="160"/>
      <c r="DY12" s="160"/>
      <c r="DZ12" s="160"/>
      <c r="EA12" s="160"/>
      <c r="EB12" s="160"/>
    </row>
    <row r="13" spans="1:133" s="5" customFormat="1" ht="15.75" customHeight="1" x14ac:dyDescent="0.25">
      <c r="A13" s="33"/>
      <c r="B13" s="34"/>
      <c r="C13" s="34"/>
      <c r="D13" s="162" t="s">
        <v>47</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0"/>
      <c r="DX13" s="160"/>
      <c r="DY13" s="160"/>
      <c r="DZ13" s="160"/>
      <c r="EA13" s="160"/>
      <c r="EB13" s="160"/>
    </row>
    <row r="14" spans="1:133" s="5" customFormat="1" ht="15.75" customHeight="1" x14ac:dyDescent="0.25">
      <c r="A14" s="33"/>
      <c r="B14" s="34"/>
      <c r="C14" s="34"/>
      <c r="D14" s="162" t="s">
        <v>48</v>
      </c>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0"/>
      <c r="DX14" s="160"/>
      <c r="DY14" s="160"/>
      <c r="DZ14" s="160"/>
      <c r="EA14" s="160"/>
      <c r="EB14" s="160"/>
    </row>
    <row r="15" spans="1:133" s="5" customFormat="1" ht="16.5" customHeight="1" x14ac:dyDescent="0.25">
      <c r="A15" s="33"/>
      <c r="B15" s="34"/>
      <c r="C15" s="34"/>
      <c r="D15" s="164" t="s">
        <v>49</v>
      </c>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1"/>
      <c r="DX15" s="161"/>
      <c r="DY15" s="161"/>
      <c r="DZ15" s="161"/>
      <c r="EA15" s="161"/>
      <c r="EB15" s="161"/>
    </row>
    <row r="16" spans="1:133" ht="24" customHeight="1" thickBot="1" x14ac:dyDescent="0.3">
      <c r="A16" s="132" t="s">
        <v>64</v>
      </c>
      <c r="B16" s="132" t="s">
        <v>2</v>
      </c>
      <c r="C16" s="133" t="s">
        <v>1</v>
      </c>
      <c r="D16" s="132" t="s">
        <v>0</v>
      </c>
      <c r="E16" s="132" t="s">
        <v>107</v>
      </c>
      <c r="F16" s="132" t="s">
        <v>69</v>
      </c>
      <c r="G16" s="132" t="s">
        <v>70</v>
      </c>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t="s">
        <v>74</v>
      </c>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t="s">
        <v>75</v>
      </c>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t="s">
        <v>3</v>
      </c>
      <c r="DX16" s="132"/>
      <c r="DY16" s="132"/>
      <c r="DZ16" s="134" t="s">
        <v>4</v>
      </c>
      <c r="EA16" s="134"/>
      <c r="EB16" s="134"/>
      <c r="EC16" s="3"/>
    </row>
    <row r="17" spans="1:134" ht="24" customHeight="1" thickBot="1" x14ac:dyDescent="0.3">
      <c r="A17" s="132"/>
      <c r="B17" s="132"/>
      <c r="C17" s="133"/>
      <c r="D17" s="132"/>
      <c r="E17" s="132"/>
      <c r="F17" s="132"/>
      <c r="G17" s="104" t="s">
        <v>71</v>
      </c>
      <c r="H17" s="125" t="s">
        <v>145</v>
      </c>
      <c r="I17" s="125" t="s">
        <v>146</v>
      </c>
      <c r="J17" s="103" t="s">
        <v>80</v>
      </c>
      <c r="K17" s="103" t="s">
        <v>81</v>
      </c>
      <c r="L17" s="103" t="s">
        <v>82</v>
      </c>
      <c r="M17" s="103" t="s">
        <v>83</v>
      </c>
      <c r="N17" s="103" t="s">
        <v>84</v>
      </c>
      <c r="O17" s="103" t="s">
        <v>85</v>
      </c>
      <c r="P17" s="103" t="s">
        <v>86</v>
      </c>
      <c r="Q17" s="103" t="s">
        <v>87</v>
      </c>
      <c r="R17" s="103" t="s">
        <v>88</v>
      </c>
      <c r="S17" s="103" t="s">
        <v>89</v>
      </c>
      <c r="T17" s="103" t="s">
        <v>90</v>
      </c>
      <c r="U17" s="103" t="s">
        <v>91</v>
      </c>
      <c r="V17" s="103" t="s">
        <v>92</v>
      </c>
      <c r="W17" s="103" t="s">
        <v>93</v>
      </c>
      <c r="X17" s="103" t="s">
        <v>94</v>
      </c>
      <c r="Y17" s="104" t="s">
        <v>72</v>
      </c>
      <c r="Z17" s="125" t="s">
        <v>145</v>
      </c>
      <c r="AA17" s="125" t="s">
        <v>146</v>
      </c>
      <c r="AB17" s="103" t="s">
        <v>80</v>
      </c>
      <c r="AC17" s="103" t="s">
        <v>81</v>
      </c>
      <c r="AD17" s="103" t="s">
        <v>82</v>
      </c>
      <c r="AE17" s="103" t="s">
        <v>83</v>
      </c>
      <c r="AF17" s="103" t="s">
        <v>84</v>
      </c>
      <c r="AG17" s="103" t="s">
        <v>85</v>
      </c>
      <c r="AH17" s="103" t="s">
        <v>86</v>
      </c>
      <c r="AI17" s="103" t="s">
        <v>87</v>
      </c>
      <c r="AJ17" s="103" t="s">
        <v>88</v>
      </c>
      <c r="AK17" s="103" t="s">
        <v>89</v>
      </c>
      <c r="AL17" s="103" t="s">
        <v>90</v>
      </c>
      <c r="AM17" s="103" t="s">
        <v>91</v>
      </c>
      <c r="AN17" s="103" t="s">
        <v>92</v>
      </c>
      <c r="AO17" s="103" t="s">
        <v>93</v>
      </c>
      <c r="AP17" s="103" t="s">
        <v>94</v>
      </c>
      <c r="AQ17" s="104" t="s">
        <v>73</v>
      </c>
      <c r="AR17" s="126" t="s">
        <v>145</v>
      </c>
      <c r="AS17" s="126" t="s">
        <v>146</v>
      </c>
      <c r="AT17" s="103" t="s">
        <v>80</v>
      </c>
      <c r="AU17" s="103" t="s">
        <v>81</v>
      </c>
      <c r="AV17" s="103" t="s">
        <v>82</v>
      </c>
      <c r="AW17" s="103" t="s">
        <v>83</v>
      </c>
      <c r="AX17" s="103" t="s">
        <v>84</v>
      </c>
      <c r="AY17" s="103" t="s">
        <v>85</v>
      </c>
      <c r="AZ17" s="103" t="s">
        <v>86</v>
      </c>
      <c r="BA17" s="103" t="s">
        <v>87</v>
      </c>
      <c r="BB17" s="103" t="s">
        <v>88</v>
      </c>
      <c r="BC17" s="103" t="s">
        <v>89</v>
      </c>
      <c r="BD17" s="103" t="s">
        <v>90</v>
      </c>
      <c r="BE17" s="103" t="s">
        <v>91</v>
      </c>
      <c r="BF17" s="103" t="s">
        <v>92</v>
      </c>
      <c r="BG17" s="103" t="s">
        <v>93</v>
      </c>
      <c r="BH17" s="103" t="s">
        <v>94</v>
      </c>
      <c r="BI17" s="104" t="s">
        <v>76</v>
      </c>
      <c r="BJ17" s="126" t="s">
        <v>145</v>
      </c>
      <c r="BK17" s="126" t="s">
        <v>146</v>
      </c>
      <c r="BL17" s="103" t="s">
        <v>80</v>
      </c>
      <c r="BM17" s="103" t="s">
        <v>81</v>
      </c>
      <c r="BN17" s="103" t="s">
        <v>82</v>
      </c>
      <c r="BO17" s="103" t="s">
        <v>83</v>
      </c>
      <c r="BP17" s="103" t="s">
        <v>84</v>
      </c>
      <c r="BQ17" s="103" t="s">
        <v>85</v>
      </c>
      <c r="BR17" s="103" t="s">
        <v>86</v>
      </c>
      <c r="BS17" s="103" t="s">
        <v>87</v>
      </c>
      <c r="BT17" s="103" t="s">
        <v>88</v>
      </c>
      <c r="BU17" s="103" t="s">
        <v>89</v>
      </c>
      <c r="BV17" s="103" t="s">
        <v>90</v>
      </c>
      <c r="BW17" s="103" t="s">
        <v>91</v>
      </c>
      <c r="BX17" s="103" t="s">
        <v>92</v>
      </c>
      <c r="BY17" s="103" t="s">
        <v>93</v>
      </c>
      <c r="BZ17" s="103" t="s">
        <v>94</v>
      </c>
      <c r="CA17" s="104" t="s">
        <v>77</v>
      </c>
      <c r="CB17" s="126" t="s">
        <v>145</v>
      </c>
      <c r="CC17" s="126" t="s">
        <v>146</v>
      </c>
      <c r="CD17" s="103" t="s">
        <v>80</v>
      </c>
      <c r="CE17" s="103" t="s">
        <v>81</v>
      </c>
      <c r="CF17" s="103" t="s">
        <v>82</v>
      </c>
      <c r="CG17" s="103" t="s">
        <v>83</v>
      </c>
      <c r="CH17" s="103" t="s">
        <v>84</v>
      </c>
      <c r="CI17" s="103" t="s">
        <v>85</v>
      </c>
      <c r="CJ17" s="103" t="s">
        <v>86</v>
      </c>
      <c r="CK17" s="103" t="s">
        <v>87</v>
      </c>
      <c r="CL17" s="103" t="s">
        <v>88</v>
      </c>
      <c r="CM17" s="103" t="s">
        <v>89</v>
      </c>
      <c r="CN17" s="103" t="s">
        <v>90</v>
      </c>
      <c r="CO17" s="103" t="s">
        <v>91</v>
      </c>
      <c r="CP17" s="103" t="s">
        <v>92</v>
      </c>
      <c r="CQ17" s="103" t="s">
        <v>93</v>
      </c>
      <c r="CR17" s="103" t="s">
        <v>94</v>
      </c>
      <c r="CS17" s="104" t="s">
        <v>78</v>
      </c>
      <c r="CT17" s="126" t="s">
        <v>145</v>
      </c>
      <c r="CU17" s="126" t="s">
        <v>146</v>
      </c>
      <c r="CV17" s="103" t="s">
        <v>80</v>
      </c>
      <c r="CW17" s="103" t="s">
        <v>81</v>
      </c>
      <c r="CX17" s="103" t="s">
        <v>82</v>
      </c>
      <c r="CY17" s="103" t="s">
        <v>83</v>
      </c>
      <c r="CZ17" s="103" t="s">
        <v>84</v>
      </c>
      <c r="DA17" s="103" t="s">
        <v>85</v>
      </c>
      <c r="DB17" s="103" t="s">
        <v>86</v>
      </c>
      <c r="DC17" s="103" t="s">
        <v>87</v>
      </c>
      <c r="DD17" s="103" t="s">
        <v>88</v>
      </c>
      <c r="DE17" s="103" t="s">
        <v>89</v>
      </c>
      <c r="DF17" s="103" t="s">
        <v>90</v>
      </c>
      <c r="DG17" s="103" t="s">
        <v>91</v>
      </c>
      <c r="DH17" s="103" t="s">
        <v>92</v>
      </c>
      <c r="DI17" s="103" t="s">
        <v>93</v>
      </c>
      <c r="DJ17" s="103" t="s">
        <v>94</v>
      </c>
      <c r="DK17" s="104" t="s">
        <v>79</v>
      </c>
      <c r="DL17" s="126" t="s">
        <v>145</v>
      </c>
      <c r="DM17" s="126" t="s">
        <v>146</v>
      </c>
      <c r="DN17" s="103" t="s">
        <v>80</v>
      </c>
      <c r="DO17" s="103" t="s">
        <v>81</v>
      </c>
      <c r="DP17" s="103" t="s">
        <v>82</v>
      </c>
      <c r="DQ17" s="103" t="s">
        <v>83</v>
      </c>
      <c r="DR17" s="103" t="s">
        <v>84</v>
      </c>
      <c r="DS17" s="103" t="s">
        <v>85</v>
      </c>
      <c r="DT17" s="103" t="s">
        <v>86</v>
      </c>
      <c r="DU17" s="103" t="s">
        <v>87</v>
      </c>
      <c r="DV17" s="103" t="s">
        <v>88</v>
      </c>
      <c r="DW17" s="103" t="s">
        <v>5</v>
      </c>
      <c r="DX17" s="103" t="s">
        <v>142</v>
      </c>
      <c r="DY17" s="103" t="s">
        <v>6</v>
      </c>
      <c r="DZ17" s="103" t="s">
        <v>143</v>
      </c>
      <c r="EA17" s="6" t="s">
        <v>144</v>
      </c>
      <c r="EB17" s="6" t="s">
        <v>6</v>
      </c>
    </row>
    <row r="18" spans="1:134" s="30" customFormat="1" ht="18.75" customHeight="1" x14ac:dyDescent="0.25">
      <c r="A18" s="72" t="s">
        <v>126</v>
      </c>
      <c r="B18" s="73"/>
      <c r="C18" s="74" t="s">
        <v>124</v>
      </c>
      <c r="D18" s="75"/>
      <c r="E18" s="7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22"/>
      <c r="DX18" s="122"/>
      <c r="DY18" s="122"/>
      <c r="DZ18" s="114">
        <f>DZ19+DZ48</f>
        <v>0</v>
      </c>
      <c r="EA18" s="114">
        <f t="shared" ref="EA18:EB18" si="0">EA19+EA48</f>
        <v>0</v>
      </c>
      <c r="EB18" s="114">
        <f t="shared" si="0"/>
        <v>0</v>
      </c>
    </row>
    <row r="19" spans="1:134" s="30" customFormat="1" ht="18.75" customHeight="1" x14ac:dyDescent="0.25">
      <c r="A19" s="72" t="s">
        <v>128</v>
      </c>
      <c r="B19" s="73"/>
      <c r="C19" s="74" t="s">
        <v>127</v>
      </c>
      <c r="D19" s="75"/>
      <c r="E19" s="7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22"/>
      <c r="DX19" s="122"/>
      <c r="DY19" s="122"/>
      <c r="DZ19" s="114">
        <f>DZ20</f>
        <v>0</v>
      </c>
      <c r="EA19" s="114">
        <f t="shared" ref="EA19:EB19" si="1">EA20</f>
        <v>0</v>
      </c>
      <c r="EB19" s="114">
        <f t="shared" si="1"/>
        <v>0</v>
      </c>
    </row>
    <row r="20" spans="1:134" s="29" customFormat="1" ht="18.75" customHeight="1" x14ac:dyDescent="0.25">
      <c r="A20" s="66" t="s">
        <v>129</v>
      </c>
      <c r="B20" s="66" t="s">
        <v>7</v>
      </c>
      <c r="C20" s="67" t="s">
        <v>130</v>
      </c>
      <c r="D20" s="68"/>
      <c r="E20" s="68"/>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18"/>
      <c r="DX20" s="118"/>
      <c r="DY20" s="118"/>
      <c r="DZ20" s="121">
        <f>SUM(DZ22:DZ47)</f>
        <v>0</v>
      </c>
      <c r="EA20" s="121">
        <f>SUM(EA22:EA47)</f>
        <v>0</v>
      </c>
      <c r="EB20" s="121">
        <f>SUM(EB22:EB47)</f>
        <v>0</v>
      </c>
    </row>
    <row r="21" spans="1:134" s="32" customFormat="1" x14ac:dyDescent="0.25">
      <c r="A21" s="69"/>
      <c r="B21" s="69" t="s">
        <v>8</v>
      </c>
      <c r="C21" s="95" t="s">
        <v>102</v>
      </c>
      <c r="D21" s="71" t="s">
        <v>19</v>
      </c>
      <c r="E21" s="94"/>
      <c r="F21" s="94">
        <f>F22</f>
        <v>5216.3900000000003</v>
      </c>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115"/>
      <c r="DX21" s="115"/>
      <c r="DY21" s="115"/>
      <c r="DZ21" s="115"/>
      <c r="EA21" s="115"/>
      <c r="EB21" s="115"/>
    </row>
    <row r="22" spans="1:134" s="93" customFormat="1" outlineLevel="1" x14ac:dyDescent="0.25">
      <c r="A22" s="63"/>
      <c r="B22" s="63" t="s">
        <v>9</v>
      </c>
      <c r="C22" s="64" t="s">
        <v>121</v>
      </c>
      <c r="D22" s="65" t="s">
        <v>19</v>
      </c>
      <c r="E22" s="91"/>
      <c r="F22" s="91">
        <f>G22+Y22+AQ22+BI22+CA22+CS22+DK22</f>
        <v>5216.3900000000003</v>
      </c>
      <c r="G22" s="91">
        <f>SUM(J22:X22)</f>
        <v>752.25</v>
      </c>
      <c r="H22" s="91"/>
      <c r="I22" s="91"/>
      <c r="J22" s="91">
        <f>23780/1000*2.95-(1.11*2.35*1+1.25*2.35*4+1.35*2.35+1.05*2.35)</f>
        <v>50.15</v>
      </c>
      <c r="K22" s="91">
        <f>23780/1000*2.95-(1.11*2.35*1+1.25*2.35*4+1.35*2.35+1.05*2.35)</f>
        <v>50.15</v>
      </c>
      <c r="L22" s="91">
        <f>23780/1000*2.95-(1.11*2.35*1+1.25*2.35*4+1.35*2.35+1.05*2.35)</f>
        <v>50.15</v>
      </c>
      <c r="M22" s="91">
        <f t="shared" ref="M22:X22" si="2">23780/1000*2.95-(1.11*2.35*1+1.25*2.35*4+1.35*2.35+1.05*2.35)</f>
        <v>50.15</v>
      </c>
      <c r="N22" s="91">
        <f t="shared" si="2"/>
        <v>50.15</v>
      </c>
      <c r="O22" s="91">
        <f t="shared" si="2"/>
        <v>50.15</v>
      </c>
      <c r="P22" s="91">
        <f t="shared" si="2"/>
        <v>50.15</v>
      </c>
      <c r="Q22" s="91">
        <f t="shared" si="2"/>
        <v>50.15</v>
      </c>
      <c r="R22" s="91">
        <f t="shared" si="2"/>
        <v>50.15</v>
      </c>
      <c r="S22" s="91">
        <f t="shared" si="2"/>
        <v>50.15</v>
      </c>
      <c r="T22" s="91">
        <f t="shared" si="2"/>
        <v>50.15</v>
      </c>
      <c r="U22" s="91">
        <f t="shared" si="2"/>
        <v>50.15</v>
      </c>
      <c r="V22" s="91">
        <f t="shared" si="2"/>
        <v>50.15</v>
      </c>
      <c r="W22" s="91">
        <f t="shared" si="2"/>
        <v>50.15</v>
      </c>
      <c r="X22" s="91">
        <f t="shared" si="2"/>
        <v>50.15</v>
      </c>
      <c r="Y22" s="92">
        <f>SUM(AB22:AP22)</f>
        <v>808.05</v>
      </c>
      <c r="Z22" s="92"/>
      <c r="AA22" s="92"/>
      <c r="AB22" s="91">
        <f>25040/1000*2.95-(1.11*2.35*1+1.25*2.35*4+1.35*2.35+1.05*2.35)</f>
        <v>53.87</v>
      </c>
      <c r="AC22" s="91">
        <f>25040/1000*2.95-(1.11*2.35*1+1.25*2.35*4+1.35*2.35+1.05*2.35)</f>
        <v>53.87</v>
      </c>
      <c r="AD22" s="91">
        <f>25040/1000*2.95-(1.11*2.35*1+1.25*2.35*4+1.35*2.35+1.05*2.35)</f>
        <v>53.87</v>
      </c>
      <c r="AE22" s="91">
        <f t="shared" ref="AE22:AP22" si="3">25040/1000*2.95-(1.11*2.35*1+1.25*2.35*4+1.35*2.35+1.05*2.35)</f>
        <v>53.87</v>
      </c>
      <c r="AF22" s="91">
        <f t="shared" si="3"/>
        <v>53.87</v>
      </c>
      <c r="AG22" s="91">
        <f t="shared" si="3"/>
        <v>53.87</v>
      </c>
      <c r="AH22" s="91">
        <f t="shared" si="3"/>
        <v>53.87</v>
      </c>
      <c r="AI22" s="91">
        <f t="shared" si="3"/>
        <v>53.87</v>
      </c>
      <c r="AJ22" s="91">
        <f t="shared" si="3"/>
        <v>53.87</v>
      </c>
      <c r="AK22" s="91">
        <f t="shared" si="3"/>
        <v>53.87</v>
      </c>
      <c r="AL22" s="91">
        <f t="shared" si="3"/>
        <v>53.87</v>
      </c>
      <c r="AM22" s="91">
        <f t="shared" si="3"/>
        <v>53.87</v>
      </c>
      <c r="AN22" s="91">
        <f t="shared" si="3"/>
        <v>53.87</v>
      </c>
      <c r="AO22" s="91">
        <f t="shared" si="3"/>
        <v>53.87</v>
      </c>
      <c r="AP22" s="91">
        <f t="shared" si="3"/>
        <v>53.87</v>
      </c>
      <c r="AQ22" s="91">
        <f>SUM(AT22:BH22)</f>
        <v>752.25</v>
      </c>
      <c r="AR22" s="91"/>
      <c r="AS22" s="91"/>
      <c r="AT22" s="91">
        <f>23780/1000*2.95-(1.11*2.35*1+1.25*2.35*4+1.35*2.35+1.05*2.35)</f>
        <v>50.15</v>
      </c>
      <c r="AU22" s="91">
        <f>23780/1000*2.95-(1.11*2.35*1+1.25*2.35*4+1.35*2.35+1.05*2.35)</f>
        <v>50.15</v>
      </c>
      <c r="AV22" s="91">
        <f t="shared" ref="AV22:BH22" si="4">23780/1000*2.95-(1.11*2.35*1+1.25*2.35*4+1.35*2.35+1.05*2.35)</f>
        <v>50.15</v>
      </c>
      <c r="AW22" s="91">
        <f t="shared" si="4"/>
        <v>50.15</v>
      </c>
      <c r="AX22" s="91">
        <f t="shared" si="4"/>
        <v>50.15</v>
      </c>
      <c r="AY22" s="91">
        <f t="shared" si="4"/>
        <v>50.15</v>
      </c>
      <c r="AZ22" s="91">
        <f t="shared" si="4"/>
        <v>50.15</v>
      </c>
      <c r="BA22" s="91">
        <f t="shared" si="4"/>
        <v>50.15</v>
      </c>
      <c r="BB22" s="91">
        <f t="shared" si="4"/>
        <v>50.15</v>
      </c>
      <c r="BC22" s="91">
        <f t="shared" si="4"/>
        <v>50.15</v>
      </c>
      <c r="BD22" s="91">
        <f t="shared" si="4"/>
        <v>50.15</v>
      </c>
      <c r="BE22" s="91">
        <f t="shared" si="4"/>
        <v>50.15</v>
      </c>
      <c r="BF22" s="91">
        <f t="shared" si="4"/>
        <v>50.15</v>
      </c>
      <c r="BG22" s="91">
        <f t="shared" si="4"/>
        <v>50.15</v>
      </c>
      <c r="BH22" s="91">
        <f t="shared" si="4"/>
        <v>50.15</v>
      </c>
      <c r="BI22" s="91">
        <f>SUM(BL22:BZ22)</f>
        <v>808.05</v>
      </c>
      <c r="BJ22" s="91"/>
      <c r="BK22" s="91"/>
      <c r="BL22" s="91">
        <f>25040/1000*2.95-(1.11*2.35*1+1.25*2.35*4+1.35*2.35+1.05*2.35)</f>
        <v>53.87</v>
      </c>
      <c r="BM22" s="91">
        <f>25040/1000*2.95-(1.11*2.35*1+1.25*2.35*4+1.35*2.35+1.05*2.35)</f>
        <v>53.87</v>
      </c>
      <c r="BN22" s="91">
        <f t="shared" ref="BN22:BZ22" si="5">25040/1000*2.95-(1.11*2.35*1+1.25*2.35*4+1.35*2.35+1.05*2.35)</f>
        <v>53.87</v>
      </c>
      <c r="BO22" s="91">
        <f t="shared" si="5"/>
        <v>53.87</v>
      </c>
      <c r="BP22" s="91">
        <f t="shared" si="5"/>
        <v>53.87</v>
      </c>
      <c r="BQ22" s="91">
        <f t="shared" si="5"/>
        <v>53.87</v>
      </c>
      <c r="BR22" s="91">
        <f t="shared" si="5"/>
        <v>53.87</v>
      </c>
      <c r="BS22" s="91">
        <f t="shared" si="5"/>
        <v>53.87</v>
      </c>
      <c r="BT22" s="91">
        <f t="shared" si="5"/>
        <v>53.87</v>
      </c>
      <c r="BU22" s="91">
        <f t="shared" si="5"/>
        <v>53.87</v>
      </c>
      <c r="BV22" s="91">
        <f t="shared" si="5"/>
        <v>53.87</v>
      </c>
      <c r="BW22" s="91">
        <f t="shared" si="5"/>
        <v>53.87</v>
      </c>
      <c r="BX22" s="91">
        <f t="shared" si="5"/>
        <v>53.87</v>
      </c>
      <c r="BY22" s="91">
        <f t="shared" si="5"/>
        <v>53.87</v>
      </c>
      <c r="BZ22" s="91">
        <f t="shared" si="5"/>
        <v>53.87</v>
      </c>
      <c r="CA22" s="91">
        <f>SUM(CD22:CR22)</f>
        <v>808.05</v>
      </c>
      <c r="CB22" s="91"/>
      <c r="CC22" s="91"/>
      <c r="CD22" s="91">
        <f>25040/1000*2.95-(1.11*2.35*1+1.25*2.35*4+1.35*2.35+1.05*2.35)</f>
        <v>53.87</v>
      </c>
      <c r="CE22" s="91">
        <f>25040/1000*2.95-(1.11*2.35*1+1.25*2.35*4+1.35*2.35+1.05*2.35)</f>
        <v>53.87</v>
      </c>
      <c r="CF22" s="91">
        <f t="shared" ref="CF22:CR22" si="6">25040/1000*2.95-(1.11*2.35*1+1.25*2.35*4+1.35*2.35+1.05*2.35)</f>
        <v>53.87</v>
      </c>
      <c r="CG22" s="91">
        <f t="shared" si="6"/>
        <v>53.87</v>
      </c>
      <c r="CH22" s="91">
        <f t="shared" si="6"/>
        <v>53.87</v>
      </c>
      <c r="CI22" s="91">
        <f t="shared" si="6"/>
        <v>53.87</v>
      </c>
      <c r="CJ22" s="91">
        <f t="shared" si="6"/>
        <v>53.87</v>
      </c>
      <c r="CK22" s="91">
        <f t="shared" si="6"/>
        <v>53.87</v>
      </c>
      <c r="CL22" s="91">
        <f t="shared" si="6"/>
        <v>53.87</v>
      </c>
      <c r="CM22" s="91">
        <f t="shared" si="6"/>
        <v>53.87</v>
      </c>
      <c r="CN22" s="91">
        <f t="shared" si="6"/>
        <v>53.87</v>
      </c>
      <c r="CO22" s="91">
        <f t="shared" si="6"/>
        <v>53.87</v>
      </c>
      <c r="CP22" s="91">
        <f t="shared" si="6"/>
        <v>53.87</v>
      </c>
      <c r="CQ22" s="91">
        <f t="shared" si="6"/>
        <v>53.87</v>
      </c>
      <c r="CR22" s="91">
        <f t="shared" si="6"/>
        <v>53.87</v>
      </c>
      <c r="CS22" s="91">
        <f>SUM(CV22:DJ22)</f>
        <v>799.97</v>
      </c>
      <c r="CT22" s="91"/>
      <c r="CU22" s="91"/>
      <c r="CV22" s="107">
        <f>24990/1000*2.95-(1.11*2.35*1+1.25*2.35*4+1.35*2.35+1.05*2.35)</f>
        <v>53.72</v>
      </c>
      <c r="CW22" s="107">
        <f>24990/1000*2.95-(1.11*2.35*1+1.25*2.35*4+1.35*2.35+1.05*2.35)</f>
        <v>53.72</v>
      </c>
      <c r="CX22" s="107">
        <f t="shared" ref="CX22:DF22" si="7">24990/1000*2.95-(1.11*2.35*1+1.25*2.35*4+1.35*2.35+1.05*2.35)</f>
        <v>53.72</v>
      </c>
      <c r="CY22" s="107">
        <f t="shared" si="7"/>
        <v>53.72</v>
      </c>
      <c r="CZ22" s="107">
        <f t="shared" si="7"/>
        <v>53.72</v>
      </c>
      <c r="DA22" s="107">
        <f t="shared" si="7"/>
        <v>53.72</v>
      </c>
      <c r="DB22" s="107">
        <f t="shared" si="7"/>
        <v>53.72</v>
      </c>
      <c r="DC22" s="107">
        <f t="shared" si="7"/>
        <v>53.72</v>
      </c>
      <c r="DD22" s="107">
        <f t="shared" si="7"/>
        <v>53.72</v>
      </c>
      <c r="DE22" s="107">
        <f t="shared" si="7"/>
        <v>53.72</v>
      </c>
      <c r="DF22" s="107">
        <f t="shared" si="7"/>
        <v>53.72</v>
      </c>
      <c r="DG22" s="107">
        <f>25150/1000*2.95-(1.11*2.35*1+1.25*2.35*4+1.35*2.35+1.05*2.35)</f>
        <v>54.19</v>
      </c>
      <c r="DH22" s="107">
        <f t="shared" ref="DH22:DI22" si="8">24990/1000*2.95-(1.11*2.35*1+1.25*2.35*4+1.35*2.35+1.05*2.35)</f>
        <v>53.72</v>
      </c>
      <c r="DI22" s="107">
        <f t="shared" si="8"/>
        <v>53.72</v>
      </c>
      <c r="DJ22" s="107">
        <f>21810/1000*2.95-(1.05*2.35*1+1.25*2.35*3+1.35*2.35+1.05*2.35)</f>
        <v>47.42</v>
      </c>
      <c r="DK22" s="91">
        <f>SUM(DN22:DV22)</f>
        <v>487.77</v>
      </c>
      <c r="DL22" s="91"/>
      <c r="DM22" s="91"/>
      <c r="DN22" s="107">
        <f t="shared" ref="DN22:DU22" si="9">25040/1000*2.95-(1.11*2.35*1+1.25*2.35*4+1.35*2.35+1.05*2.35)</f>
        <v>53.87</v>
      </c>
      <c r="DO22" s="107">
        <f t="shared" si="9"/>
        <v>53.87</v>
      </c>
      <c r="DP22" s="107">
        <f t="shared" si="9"/>
        <v>53.87</v>
      </c>
      <c r="DQ22" s="107">
        <f t="shared" si="9"/>
        <v>53.87</v>
      </c>
      <c r="DR22" s="107">
        <f t="shared" si="9"/>
        <v>53.87</v>
      </c>
      <c r="DS22" s="107">
        <f t="shared" si="9"/>
        <v>53.87</v>
      </c>
      <c r="DT22" s="107">
        <f t="shared" si="9"/>
        <v>53.87</v>
      </c>
      <c r="DU22" s="107">
        <f t="shared" si="9"/>
        <v>53.87</v>
      </c>
      <c r="DV22" s="107">
        <f>25040/1000*2.95-(1.11*2.35*1+1.25*2.35*3+1.35*2.35+1.05*2.35)</f>
        <v>56.81</v>
      </c>
      <c r="DW22" s="119">
        <f>SUMPRODUCT(DW23:DW24,F23:F24)/F22</f>
        <v>0</v>
      </c>
      <c r="DX22" s="112"/>
      <c r="DY22" s="119">
        <f>SUM(DW22:DX22)</f>
        <v>0</v>
      </c>
      <c r="DZ22" s="91">
        <f>DW22*F22</f>
        <v>0</v>
      </c>
      <c r="EA22" s="91">
        <f>DX22*F22</f>
        <v>0</v>
      </c>
      <c r="EB22" s="91">
        <f>DY22*F22</f>
        <v>0</v>
      </c>
    </row>
    <row r="23" spans="1:134" s="93" customFormat="1" ht="21.75" customHeight="1" outlineLevel="2" x14ac:dyDescent="0.25">
      <c r="A23" s="63"/>
      <c r="B23" s="63"/>
      <c r="C23" s="100" t="s">
        <v>114</v>
      </c>
      <c r="D23" s="65" t="s">
        <v>106</v>
      </c>
      <c r="E23" s="112"/>
      <c r="F23" s="91">
        <f>$F$22*E23</f>
        <v>0</v>
      </c>
      <c r="G23" s="91"/>
      <c r="H23" s="91"/>
      <c r="I23" s="91"/>
      <c r="J23" s="91"/>
      <c r="K23" s="91"/>
      <c r="L23" s="91"/>
      <c r="M23" s="91"/>
      <c r="N23" s="91"/>
      <c r="O23" s="91"/>
      <c r="P23" s="91"/>
      <c r="Q23" s="91"/>
      <c r="R23" s="91"/>
      <c r="S23" s="91"/>
      <c r="T23" s="91"/>
      <c r="U23" s="91"/>
      <c r="V23" s="91"/>
      <c r="W23" s="91"/>
      <c r="X23" s="91"/>
      <c r="Y23" s="92"/>
      <c r="Z23" s="92"/>
      <c r="AA23" s="92"/>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107"/>
      <c r="CW23" s="107"/>
      <c r="CX23" s="107"/>
      <c r="CY23" s="107"/>
      <c r="CZ23" s="107"/>
      <c r="DA23" s="107"/>
      <c r="DB23" s="107"/>
      <c r="DC23" s="107"/>
      <c r="DD23" s="107"/>
      <c r="DE23" s="107"/>
      <c r="DF23" s="107"/>
      <c r="DG23" s="107"/>
      <c r="DH23" s="107"/>
      <c r="DI23" s="107"/>
      <c r="DJ23" s="107"/>
      <c r="DK23" s="91"/>
      <c r="DL23" s="91"/>
      <c r="DM23" s="91"/>
      <c r="DN23" s="107"/>
      <c r="DO23" s="107"/>
      <c r="DP23" s="107"/>
      <c r="DQ23" s="107"/>
      <c r="DR23" s="107"/>
      <c r="DS23" s="107"/>
      <c r="DT23" s="107"/>
      <c r="DU23" s="107"/>
      <c r="DV23" s="107"/>
      <c r="DW23" s="112"/>
      <c r="DX23" s="119"/>
      <c r="DY23" s="119"/>
      <c r="DZ23" s="91"/>
      <c r="EA23" s="91"/>
      <c r="EB23" s="91"/>
    </row>
    <row r="24" spans="1:134" s="93" customFormat="1" ht="26.25" customHeight="1" outlineLevel="2" x14ac:dyDescent="0.25">
      <c r="A24" s="63"/>
      <c r="B24" s="63"/>
      <c r="C24" s="100" t="s">
        <v>120</v>
      </c>
      <c r="D24" s="65" t="s">
        <v>105</v>
      </c>
      <c r="E24" s="112"/>
      <c r="F24" s="91">
        <f>$F$22*E24</f>
        <v>0</v>
      </c>
      <c r="G24" s="91"/>
      <c r="H24" s="91"/>
      <c r="I24" s="91"/>
      <c r="J24" s="91"/>
      <c r="K24" s="91"/>
      <c r="L24" s="91"/>
      <c r="M24" s="91"/>
      <c r="N24" s="91"/>
      <c r="O24" s="91"/>
      <c r="P24" s="91"/>
      <c r="Q24" s="91"/>
      <c r="R24" s="91"/>
      <c r="S24" s="91"/>
      <c r="T24" s="91"/>
      <c r="U24" s="91"/>
      <c r="V24" s="91"/>
      <c r="W24" s="91"/>
      <c r="X24" s="91"/>
      <c r="Y24" s="92"/>
      <c r="Z24" s="92"/>
      <c r="AA24" s="92"/>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107"/>
      <c r="CW24" s="107"/>
      <c r="CX24" s="107"/>
      <c r="CY24" s="107"/>
      <c r="CZ24" s="107"/>
      <c r="DA24" s="107"/>
      <c r="DB24" s="107"/>
      <c r="DC24" s="107"/>
      <c r="DD24" s="107"/>
      <c r="DE24" s="107"/>
      <c r="DF24" s="107"/>
      <c r="DG24" s="107"/>
      <c r="DH24" s="107"/>
      <c r="DI24" s="107"/>
      <c r="DJ24" s="107"/>
      <c r="DK24" s="91"/>
      <c r="DL24" s="91"/>
      <c r="DM24" s="91"/>
      <c r="DN24" s="107"/>
      <c r="DO24" s="107"/>
      <c r="DP24" s="107"/>
      <c r="DQ24" s="107"/>
      <c r="DR24" s="107"/>
      <c r="DS24" s="107"/>
      <c r="DT24" s="107"/>
      <c r="DU24" s="107"/>
      <c r="DV24" s="107"/>
      <c r="DW24" s="112"/>
      <c r="DX24" s="119"/>
      <c r="DY24" s="119"/>
      <c r="DZ24" s="91"/>
      <c r="EA24" s="91"/>
      <c r="EB24" s="91"/>
    </row>
    <row r="25" spans="1:134" s="31" customFormat="1" ht="18.75" customHeight="1" x14ac:dyDescent="0.25">
      <c r="A25" s="69"/>
      <c r="B25" s="69" t="s">
        <v>20</v>
      </c>
      <c r="C25" s="95" t="s">
        <v>112</v>
      </c>
      <c r="D25" s="71" t="s">
        <v>19</v>
      </c>
      <c r="E25" s="94"/>
      <c r="F25" s="108">
        <f>F26+F29</f>
        <v>8542.3799999999992</v>
      </c>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115"/>
      <c r="DX25" s="115"/>
      <c r="DY25" s="115"/>
      <c r="DZ25" s="115"/>
      <c r="EA25" s="115"/>
      <c r="EB25" s="115"/>
      <c r="ED25" s="77"/>
    </row>
    <row r="26" spans="1:134" s="93" customFormat="1" outlineLevel="1" x14ac:dyDescent="0.25">
      <c r="A26" s="63"/>
      <c r="B26" s="63" t="s">
        <v>21</v>
      </c>
      <c r="C26" s="64" t="s">
        <v>121</v>
      </c>
      <c r="D26" s="65" t="s">
        <v>19</v>
      </c>
      <c r="E26" s="91"/>
      <c r="F26" s="91">
        <f>G26+Y26+AQ26+BI26+CA26+CS26+DK26</f>
        <v>6553.8</v>
      </c>
      <c r="G26" s="91">
        <f>SUM(J26:X26)</f>
        <v>993</v>
      </c>
      <c r="H26" s="91"/>
      <c r="I26" s="91"/>
      <c r="J26" s="109">
        <f t="shared" ref="J26:X26" si="10">(9.24*2.95*2+2.87*2.95*2)-1.25*2.1*2</f>
        <v>66.2</v>
      </c>
      <c r="K26" s="109">
        <f t="shared" si="10"/>
        <v>66.2</v>
      </c>
      <c r="L26" s="109">
        <f t="shared" si="10"/>
        <v>66.2</v>
      </c>
      <c r="M26" s="109">
        <f t="shared" si="10"/>
        <v>66.2</v>
      </c>
      <c r="N26" s="109">
        <f t="shared" si="10"/>
        <v>66.2</v>
      </c>
      <c r="O26" s="109">
        <f t="shared" si="10"/>
        <v>66.2</v>
      </c>
      <c r="P26" s="109">
        <f t="shared" si="10"/>
        <v>66.2</v>
      </c>
      <c r="Q26" s="109">
        <f t="shared" si="10"/>
        <v>66.2</v>
      </c>
      <c r="R26" s="109">
        <f t="shared" si="10"/>
        <v>66.2</v>
      </c>
      <c r="S26" s="109">
        <f t="shared" si="10"/>
        <v>66.2</v>
      </c>
      <c r="T26" s="109">
        <f t="shared" si="10"/>
        <v>66.2</v>
      </c>
      <c r="U26" s="109">
        <f t="shared" si="10"/>
        <v>66.2</v>
      </c>
      <c r="V26" s="109">
        <f t="shared" si="10"/>
        <v>66.2</v>
      </c>
      <c r="W26" s="109">
        <f t="shared" si="10"/>
        <v>66.2</v>
      </c>
      <c r="X26" s="109">
        <f t="shared" si="10"/>
        <v>66.2</v>
      </c>
      <c r="Y26" s="109">
        <f>SUM(AB26:AP26)</f>
        <v>993</v>
      </c>
      <c r="Z26" s="109"/>
      <c r="AA26" s="109"/>
      <c r="AB26" s="109">
        <f t="shared" ref="AB26:AP26" si="11">(9.24*2.95*2+2.87*2.95*2)-1.25*2.1*2</f>
        <v>66.2</v>
      </c>
      <c r="AC26" s="109">
        <f t="shared" si="11"/>
        <v>66.2</v>
      </c>
      <c r="AD26" s="109">
        <f t="shared" si="11"/>
        <v>66.2</v>
      </c>
      <c r="AE26" s="109">
        <f t="shared" si="11"/>
        <v>66.2</v>
      </c>
      <c r="AF26" s="109">
        <f t="shared" si="11"/>
        <v>66.2</v>
      </c>
      <c r="AG26" s="109">
        <f t="shared" si="11"/>
        <v>66.2</v>
      </c>
      <c r="AH26" s="109">
        <f t="shared" si="11"/>
        <v>66.2</v>
      </c>
      <c r="AI26" s="109">
        <f t="shared" si="11"/>
        <v>66.2</v>
      </c>
      <c r="AJ26" s="109">
        <f t="shared" si="11"/>
        <v>66.2</v>
      </c>
      <c r="AK26" s="109">
        <f t="shared" si="11"/>
        <v>66.2</v>
      </c>
      <c r="AL26" s="109">
        <f t="shared" si="11"/>
        <v>66.2</v>
      </c>
      <c r="AM26" s="109">
        <f t="shared" si="11"/>
        <v>66.2</v>
      </c>
      <c r="AN26" s="109">
        <f t="shared" si="11"/>
        <v>66.2</v>
      </c>
      <c r="AO26" s="109">
        <f t="shared" si="11"/>
        <v>66.2</v>
      </c>
      <c r="AP26" s="109">
        <f t="shared" si="11"/>
        <v>66.2</v>
      </c>
      <c r="AQ26" s="91">
        <f>SUM(AT26:BH26)</f>
        <v>993</v>
      </c>
      <c r="AR26" s="91"/>
      <c r="AS26" s="91"/>
      <c r="AT26" s="109">
        <f t="shared" ref="AT26:BH26" si="12">(9.24*2.95*2+2.87*2.95*2)-1.25*2.1*2</f>
        <v>66.2</v>
      </c>
      <c r="AU26" s="109">
        <f t="shared" si="12"/>
        <v>66.2</v>
      </c>
      <c r="AV26" s="109">
        <f t="shared" si="12"/>
        <v>66.2</v>
      </c>
      <c r="AW26" s="109">
        <f t="shared" si="12"/>
        <v>66.2</v>
      </c>
      <c r="AX26" s="109">
        <f t="shared" si="12"/>
        <v>66.2</v>
      </c>
      <c r="AY26" s="109">
        <f t="shared" si="12"/>
        <v>66.2</v>
      </c>
      <c r="AZ26" s="109">
        <f t="shared" si="12"/>
        <v>66.2</v>
      </c>
      <c r="BA26" s="109">
        <f t="shared" si="12"/>
        <v>66.2</v>
      </c>
      <c r="BB26" s="109">
        <f t="shared" si="12"/>
        <v>66.2</v>
      </c>
      <c r="BC26" s="109">
        <f t="shared" si="12"/>
        <v>66.2</v>
      </c>
      <c r="BD26" s="109">
        <f t="shared" si="12"/>
        <v>66.2</v>
      </c>
      <c r="BE26" s="109">
        <f t="shared" si="12"/>
        <v>66.2</v>
      </c>
      <c r="BF26" s="109">
        <f t="shared" si="12"/>
        <v>66.2</v>
      </c>
      <c r="BG26" s="109">
        <f t="shared" si="12"/>
        <v>66.2</v>
      </c>
      <c r="BH26" s="109">
        <f t="shared" si="12"/>
        <v>66.2</v>
      </c>
      <c r="BI26" s="91">
        <f>SUM(BL26:BZ26)</f>
        <v>993</v>
      </c>
      <c r="BJ26" s="91"/>
      <c r="BK26" s="91"/>
      <c r="BL26" s="109">
        <f t="shared" ref="BL26:BZ26" si="13">(9.24*2.95*2+2.87*2.95*2)-1.25*2.1*2</f>
        <v>66.2</v>
      </c>
      <c r="BM26" s="109">
        <f t="shared" si="13"/>
        <v>66.2</v>
      </c>
      <c r="BN26" s="109">
        <f t="shared" si="13"/>
        <v>66.2</v>
      </c>
      <c r="BO26" s="109">
        <f t="shared" si="13"/>
        <v>66.2</v>
      </c>
      <c r="BP26" s="109">
        <f t="shared" si="13"/>
        <v>66.2</v>
      </c>
      <c r="BQ26" s="109">
        <f t="shared" si="13"/>
        <v>66.2</v>
      </c>
      <c r="BR26" s="109">
        <f t="shared" si="13"/>
        <v>66.2</v>
      </c>
      <c r="BS26" s="109">
        <f t="shared" si="13"/>
        <v>66.2</v>
      </c>
      <c r="BT26" s="109">
        <f t="shared" si="13"/>
        <v>66.2</v>
      </c>
      <c r="BU26" s="109">
        <f t="shared" si="13"/>
        <v>66.2</v>
      </c>
      <c r="BV26" s="109">
        <f t="shared" si="13"/>
        <v>66.2</v>
      </c>
      <c r="BW26" s="109">
        <f t="shared" si="13"/>
        <v>66.2</v>
      </c>
      <c r="BX26" s="109">
        <f t="shared" si="13"/>
        <v>66.2</v>
      </c>
      <c r="BY26" s="109">
        <f t="shared" si="13"/>
        <v>66.2</v>
      </c>
      <c r="BZ26" s="109">
        <f t="shared" si="13"/>
        <v>66.2</v>
      </c>
      <c r="CA26" s="91">
        <f>SUM(CD26:CR26)</f>
        <v>993</v>
      </c>
      <c r="CB26" s="91"/>
      <c r="CC26" s="91"/>
      <c r="CD26" s="109">
        <f t="shared" ref="CD26:CR26" si="14">(9.24*2.95*2+2.87*2.95*2)-1.25*2.1*2</f>
        <v>66.2</v>
      </c>
      <c r="CE26" s="109">
        <f t="shared" si="14"/>
        <v>66.2</v>
      </c>
      <c r="CF26" s="109">
        <f t="shared" si="14"/>
        <v>66.2</v>
      </c>
      <c r="CG26" s="109">
        <f t="shared" si="14"/>
        <v>66.2</v>
      </c>
      <c r="CH26" s="109">
        <f t="shared" si="14"/>
        <v>66.2</v>
      </c>
      <c r="CI26" s="109">
        <f t="shared" si="14"/>
        <v>66.2</v>
      </c>
      <c r="CJ26" s="109">
        <f t="shared" si="14"/>
        <v>66.2</v>
      </c>
      <c r="CK26" s="109">
        <f t="shared" si="14"/>
        <v>66.2</v>
      </c>
      <c r="CL26" s="109">
        <f t="shared" si="14"/>
        <v>66.2</v>
      </c>
      <c r="CM26" s="109">
        <f t="shared" si="14"/>
        <v>66.2</v>
      </c>
      <c r="CN26" s="109">
        <f t="shared" si="14"/>
        <v>66.2</v>
      </c>
      <c r="CO26" s="109">
        <f t="shared" si="14"/>
        <v>66.2</v>
      </c>
      <c r="CP26" s="109">
        <f t="shared" si="14"/>
        <v>66.2</v>
      </c>
      <c r="CQ26" s="109">
        <f t="shared" si="14"/>
        <v>66.2</v>
      </c>
      <c r="CR26" s="109">
        <f t="shared" si="14"/>
        <v>66.2</v>
      </c>
      <c r="CS26" s="91">
        <f>SUM(CV26:DJ26)</f>
        <v>993</v>
      </c>
      <c r="CT26" s="91"/>
      <c r="CU26" s="91"/>
      <c r="CV26" s="109">
        <f t="shared" ref="CV26:DJ26" si="15">(9.24*2.95*2+2.87*2.95*2)-1.25*2.1*2</f>
        <v>66.2</v>
      </c>
      <c r="CW26" s="109">
        <f t="shared" si="15"/>
        <v>66.2</v>
      </c>
      <c r="CX26" s="109">
        <f t="shared" si="15"/>
        <v>66.2</v>
      </c>
      <c r="CY26" s="109">
        <f t="shared" si="15"/>
        <v>66.2</v>
      </c>
      <c r="CZ26" s="109">
        <f t="shared" si="15"/>
        <v>66.2</v>
      </c>
      <c r="DA26" s="109">
        <f t="shared" si="15"/>
        <v>66.2</v>
      </c>
      <c r="DB26" s="109">
        <f t="shared" si="15"/>
        <v>66.2</v>
      </c>
      <c r="DC26" s="109">
        <f t="shared" si="15"/>
        <v>66.2</v>
      </c>
      <c r="DD26" s="109">
        <f t="shared" si="15"/>
        <v>66.2</v>
      </c>
      <c r="DE26" s="109">
        <f t="shared" si="15"/>
        <v>66.2</v>
      </c>
      <c r="DF26" s="109">
        <f t="shared" si="15"/>
        <v>66.2</v>
      </c>
      <c r="DG26" s="109">
        <f t="shared" si="15"/>
        <v>66.2</v>
      </c>
      <c r="DH26" s="109">
        <f t="shared" si="15"/>
        <v>66.2</v>
      </c>
      <c r="DI26" s="109">
        <f t="shared" si="15"/>
        <v>66.2</v>
      </c>
      <c r="DJ26" s="109">
        <f t="shared" si="15"/>
        <v>66.2</v>
      </c>
      <c r="DK26" s="91">
        <f>SUM(DN26:DV26)</f>
        <v>595.79999999999995</v>
      </c>
      <c r="DL26" s="91"/>
      <c r="DM26" s="91"/>
      <c r="DN26" s="109">
        <f t="shared" ref="DN26:DV26" si="16">(9.24*2.95*2+2.87*2.95*2)-1.25*2.1*2</f>
        <v>66.2</v>
      </c>
      <c r="DO26" s="109">
        <f t="shared" si="16"/>
        <v>66.2</v>
      </c>
      <c r="DP26" s="109">
        <f t="shared" si="16"/>
        <v>66.2</v>
      </c>
      <c r="DQ26" s="109">
        <f t="shared" si="16"/>
        <v>66.2</v>
      </c>
      <c r="DR26" s="109">
        <f t="shared" si="16"/>
        <v>66.2</v>
      </c>
      <c r="DS26" s="109">
        <f t="shared" si="16"/>
        <v>66.2</v>
      </c>
      <c r="DT26" s="109">
        <f t="shared" si="16"/>
        <v>66.2</v>
      </c>
      <c r="DU26" s="109">
        <f t="shared" si="16"/>
        <v>66.2</v>
      </c>
      <c r="DV26" s="109">
        <f t="shared" si="16"/>
        <v>66.2</v>
      </c>
      <c r="DW26" s="119">
        <f>SUMPRODUCT(DW27:DW28,F27:F28)/F26</f>
        <v>0</v>
      </c>
      <c r="DX26" s="112"/>
      <c r="DY26" s="119">
        <f>SUM(DW26:DX26)</f>
        <v>0</v>
      </c>
      <c r="DZ26" s="91">
        <f>DW26*F26</f>
        <v>0</v>
      </c>
      <c r="EA26" s="91">
        <f>DX26*F26</f>
        <v>0</v>
      </c>
      <c r="EB26" s="91">
        <f>DY26*F26</f>
        <v>0</v>
      </c>
    </row>
    <row r="27" spans="1:134" s="93" customFormat="1" outlineLevel="2" x14ac:dyDescent="0.25">
      <c r="A27" s="63"/>
      <c r="B27" s="63"/>
      <c r="C27" s="100" t="s">
        <v>114</v>
      </c>
      <c r="D27" s="65" t="s">
        <v>106</v>
      </c>
      <c r="E27" s="112"/>
      <c r="F27" s="91">
        <f>$F$26*E27</f>
        <v>0</v>
      </c>
      <c r="G27" s="91"/>
      <c r="H27" s="91"/>
      <c r="I27" s="91"/>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91"/>
      <c r="AR27" s="91"/>
      <c r="AS27" s="91"/>
      <c r="AT27" s="109"/>
      <c r="AU27" s="109"/>
      <c r="AV27" s="109"/>
      <c r="AW27" s="109"/>
      <c r="AX27" s="109"/>
      <c r="AY27" s="109"/>
      <c r="AZ27" s="109"/>
      <c r="BA27" s="109"/>
      <c r="BB27" s="109"/>
      <c r="BC27" s="109"/>
      <c r="BD27" s="109"/>
      <c r="BE27" s="109"/>
      <c r="BF27" s="109"/>
      <c r="BG27" s="109"/>
      <c r="BH27" s="109"/>
      <c r="BI27" s="91"/>
      <c r="BJ27" s="91"/>
      <c r="BK27" s="91"/>
      <c r="BL27" s="109"/>
      <c r="BM27" s="109"/>
      <c r="BN27" s="109"/>
      <c r="BO27" s="109"/>
      <c r="BP27" s="109"/>
      <c r="BQ27" s="109"/>
      <c r="BR27" s="109"/>
      <c r="BS27" s="109"/>
      <c r="BT27" s="109"/>
      <c r="BU27" s="109"/>
      <c r="BV27" s="109"/>
      <c r="BW27" s="109"/>
      <c r="BX27" s="109"/>
      <c r="BY27" s="109"/>
      <c r="BZ27" s="109"/>
      <c r="CA27" s="91"/>
      <c r="CB27" s="91"/>
      <c r="CC27" s="91"/>
      <c r="CD27" s="109"/>
      <c r="CE27" s="109"/>
      <c r="CF27" s="109"/>
      <c r="CG27" s="109"/>
      <c r="CH27" s="109"/>
      <c r="CI27" s="109"/>
      <c r="CJ27" s="109"/>
      <c r="CK27" s="109"/>
      <c r="CL27" s="109"/>
      <c r="CM27" s="109"/>
      <c r="CN27" s="109"/>
      <c r="CO27" s="109"/>
      <c r="CP27" s="109"/>
      <c r="CQ27" s="109"/>
      <c r="CR27" s="109"/>
      <c r="CS27" s="91"/>
      <c r="CT27" s="91"/>
      <c r="CU27" s="91"/>
      <c r="CV27" s="109"/>
      <c r="CW27" s="109"/>
      <c r="CX27" s="109"/>
      <c r="CY27" s="109"/>
      <c r="CZ27" s="109"/>
      <c r="DA27" s="109"/>
      <c r="DB27" s="109"/>
      <c r="DC27" s="109"/>
      <c r="DD27" s="109"/>
      <c r="DE27" s="109"/>
      <c r="DF27" s="109"/>
      <c r="DG27" s="109"/>
      <c r="DH27" s="109"/>
      <c r="DI27" s="109"/>
      <c r="DJ27" s="109"/>
      <c r="DK27" s="91"/>
      <c r="DL27" s="91"/>
      <c r="DM27" s="91"/>
      <c r="DN27" s="109"/>
      <c r="DO27" s="109"/>
      <c r="DP27" s="109"/>
      <c r="DQ27" s="109"/>
      <c r="DR27" s="109"/>
      <c r="DS27" s="109"/>
      <c r="DT27" s="109"/>
      <c r="DU27" s="109"/>
      <c r="DV27" s="109"/>
      <c r="DW27" s="112"/>
      <c r="DX27" s="119"/>
      <c r="DY27" s="119"/>
      <c r="DZ27" s="91"/>
      <c r="EA27" s="91"/>
      <c r="EB27" s="91"/>
    </row>
    <row r="28" spans="1:134" s="93" customFormat="1" outlineLevel="2" x14ac:dyDescent="0.25">
      <c r="A28" s="63"/>
      <c r="B28" s="63"/>
      <c r="C28" s="100" t="s">
        <v>120</v>
      </c>
      <c r="D28" s="65" t="s">
        <v>105</v>
      </c>
      <c r="E28" s="112"/>
      <c r="F28" s="91">
        <f>$F$26*E28</f>
        <v>0</v>
      </c>
      <c r="G28" s="91"/>
      <c r="H28" s="91"/>
      <c r="I28" s="91"/>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91"/>
      <c r="AR28" s="91"/>
      <c r="AS28" s="91"/>
      <c r="AT28" s="109"/>
      <c r="AU28" s="109"/>
      <c r="AV28" s="109"/>
      <c r="AW28" s="109"/>
      <c r="AX28" s="109"/>
      <c r="AY28" s="109"/>
      <c r="AZ28" s="109"/>
      <c r="BA28" s="109"/>
      <c r="BB28" s="109"/>
      <c r="BC28" s="109"/>
      <c r="BD28" s="109"/>
      <c r="BE28" s="109"/>
      <c r="BF28" s="109"/>
      <c r="BG28" s="109"/>
      <c r="BH28" s="109"/>
      <c r="BI28" s="91"/>
      <c r="BJ28" s="91"/>
      <c r="BK28" s="91"/>
      <c r="BL28" s="109"/>
      <c r="BM28" s="109"/>
      <c r="BN28" s="109"/>
      <c r="BO28" s="109"/>
      <c r="BP28" s="109"/>
      <c r="BQ28" s="109"/>
      <c r="BR28" s="109"/>
      <c r="BS28" s="109"/>
      <c r="BT28" s="109"/>
      <c r="BU28" s="109"/>
      <c r="BV28" s="109"/>
      <c r="BW28" s="109"/>
      <c r="BX28" s="109"/>
      <c r="BY28" s="109"/>
      <c r="BZ28" s="109"/>
      <c r="CA28" s="91"/>
      <c r="CB28" s="91"/>
      <c r="CC28" s="91"/>
      <c r="CD28" s="109"/>
      <c r="CE28" s="109"/>
      <c r="CF28" s="109"/>
      <c r="CG28" s="109"/>
      <c r="CH28" s="109"/>
      <c r="CI28" s="109"/>
      <c r="CJ28" s="109"/>
      <c r="CK28" s="109"/>
      <c r="CL28" s="109"/>
      <c r="CM28" s="109"/>
      <c r="CN28" s="109"/>
      <c r="CO28" s="109"/>
      <c r="CP28" s="109"/>
      <c r="CQ28" s="109"/>
      <c r="CR28" s="109"/>
      <c r="CS28" s="91"/>
      <c r="CT28" s="91"/>
      <c r="CU28" s="91"/>
      <c r="CV28" s="109"/>
      <c r="CW28" s="109"/>
      <c r="CX28" s="109"/>
      <c r="CY28" s="109"/>
      <c r="CZ28" s="109"/>
      <c r="DA28" s="109"/>
      <c r="DB28" s="109"/>
      <c r="DC28" s="109"/>
      <c r="DD28" s="109"/>
      <c r="DE28" s="109"/>
      <c r="DF28" s="109"/>
      <c r="DG28" s="109"/>
      <c r="DH28" s="109"/>
      <c r="DI28" s="109"/>
      <c r="DJ28" s="109"/>
      <c r="DK28" s="91"/>
      <c r="DL28" s="91"/>
      <c r="DM28" s="91"/>
      <c r="DN28" s="109"/>
      <c r="DO28" s="109"/>
      <c r="DP28" s="109"/>
      <c r="DQ28" s="109"/>
      <c r="DR28" s="109"/>
      <c r="DS28" s="109"/>
      <c r="DT28" s="109"/>
      <c r="DU28" s="109"/>
      <c r="DV28" s="109"/>
      <c r="DW28" s="112"/>
      <c r="DX28" s="119"/>
      <c r="DY28" s="119"/>
      <c r="DZ28" s="91"/>
      <c r="EA28" s="91"/>
      <c r="EB28" s="91"/>
    </row>
    <row r="29" spans="1:134" s="93" customFormat="1" ht="24" customHeight="1" outlineLevel="1" x14ac:dyDescent="0.25">
      <c r="A29" s="63"/>
      <c r="B29" s="63" t="s">
        <v>111</v>
      </c>
      <c r="C29" s="64" t="s">
        <v>123</v>
      </c>
      <c r="D29" s="65" t="s">
        <v>19</v>
      </c>
      <c r="E29" s="91"/>
      <c r="F29" s="91">
        <f>G29+Y29+AQ29+BI29+CA29+CS29+DK29</f>
        <v>1988.58</v>
      </c>
      <c r="G29" s="91">
        <f>H29+I29</f>
        <v>285.23</v>
      </c>
      <c r="H29" s="109">
        <v>97.77</v>
      </c>
      <c r="I29" s="109">
        <v>187.46</v>
      </c>
      <c r="J29" s="109"/>
      <c r="K29" s="109"/>
      <c r="L29" s="109"/>
      <c r="M29" s="109"/>
      <c r="N29" s="109"/>
      <c r="O29" s="109"/>
      <c r="P29" s="109"/>
      <c r="Q29" s="109"/>
      <c r="R29" s="109"/>
      <c r="S29" s="109"/>
      <c r="T29" s="109"/>
      <c r="U29" s="109"/>
      <c r="V29" s="109"/>
      <c r="W29" s="109"/>
      <c r="X29" s="109"/>
      <c r="Y29" s="109">
        <f>Z29+AA29</f>
        <v>158.4</v>
      </c>
      <c r="Z29" s="109">
        <v>92.61</v>
      </c>
      <c r="AA29" s="109">
        <v>65.790000000000006</v>
      </c>
      <c r="AB29" s="109"/>
      <c r="AC29" s="109"/>
      <c r="AD29" s="109"/>
      <c r="AE29" s="109"/>
      <c r="AF29" s="109"/>
      <c r="AG29" s="109"/>
      <c r="AH29" s="109"/>
      <c r="AI29" s="109"/>
      <c r="AJ29" s="109"/>
      <c r="AK29" s="109"/>
      <c r="AL29" s="109"/>
      <c r="AM29" s="109"/>
      <c r="AN29" s="109"/>
      <c r="AO29" s="109"/>
      <c r="AP29" s="109"/>
      <c r="AQ29" s="91">
        <f>AR29+AS29</f>
        <v>302.13</v>
      </c>
      <c r="AR29" s="91">
        <v>105.82</v>
      </c>
      <c r="AS29" s="91">
        <v>196.31</v>
      </c>
      <c r="AT29" s="109"/>
      <c r="AU29" s="109"/>
      <c r="AV29" s="109"/>
      <c r="AW29" s="109"/>
      <c r="AX29" s="109"/>
      <c r="AY29" s="109"/>
      <c r="AZ29" s="109"/>
      <c r="BA29" s="109"/>
      <c r="BB29" s="109"/>
      <c r="BC29" s="109"/>
      <c r="BD29" s="109"/>
      <c r="BE29" s="109"/>
      <c r="BF29" s="109"/>
      <c r="BG29" s="109"/>
      <c r="BH29" s="109"/>
      <c r="BI29" s="91">
        <f>BJ29+BK29</f>
        <v>345.86</v>
      </c>
      <c r="BJ29" s="91">
        <v>97.52</v>
      </c>
      <c r="BK29" s="91">
        <f>85*2.95-1.15*2.1</f>
        <v>248.34</v>
      </c>
      <c r="BL29" s="109"/>
      <c r="BM29" s="109"/>
      <c r="BN29" s="109"/>
      <c r="BO29" s="109"/>
      <c r="BP29" s="109"/>
      <c r="BQ29" s="109"/>
      <c r="BR29" s="109"/>
      <c r="BS29" s="109"/>
      <c r="BT29" s="109"/>
      <c r="BU29" s="109"/>
      <c r="BV29" s="109"/>
      <c r="BW29" s="109"/>
      <c r="BX29" s="109"/>
      <c r="BY29" s="109"/>
      <c r="BZ29" s="109"/>
      <c r="CA29" s="91">
        <f>CB29+CC29</f>
        <v>396.88</v>
      </c>
      <c r="CB29" s="91">
        <v>124.41</v>
      </c>
      <c r="CC29" s="91">
        <v>272.47000000000003</v>
      </c>
      <c r="CD29" s="109"/>
      <c r="CE29" s="109"/>
      <c r="CF29" s="109"/>
      <c r="CG29" s="109"/>
      <c r="CH29" s="109"/>
      <c r="CI29" s="109"/>
      <c r="CJ29" s="109"/>
      <c r="CK29" s="109"/>
      <c r="CL29" s="109"/>
      <c r="CM29" s="109"/>
      <c r="CN29" s="109"/>
      <c r="CO29" s="109"/>
      <c r="CP29" s="109"/>
      <c r="CQ29" s="109"/>
      <c r="CR29" s="109"/>
      <c r="CS29" s="91">
        <f>CT29+CU29</f>
        <v>256.86</v>
      </c>
      <c r="CT29" s="91">
        <v>82.27</v>
      </c>
      <c r="CU29" s="91">
        <f>60*2.95-1.15*2.1</f>
        <v>174.59</v>
      </c>
      <c r="CV29" s="109"/>
      <c r="CW29" s="109"/>
      <c r="CX29" s="109"/>
      <c r="CY29" s="109"/>
      <c r="CZ29" s="109"/>
      <c r="DA29" s="109"/>
      <c r="DB29" s="109"/>
      <c r="DC29" s="109"/>
      <c r="DD29" s="109"/>
      <c r="DE29" s="109"/>
      <c r="DF29" s="109"/>
      <c r="DG29" s="109"/>
      <c r="DH29" s="109"/>
      <c r="DI29" s="109"/>
      <c r="DJ29" s="109"/>
      <c r="DK29" s="91">
        <f>DL29+DM29</f>
        <v>243.22</v>
      </c>
      <c r="DL29" s="91">
        <v>80.430000000000007</v>
      </c>
      <c r="DM29" s="91">
        <f>56*2.95-1.15*2.1</f>
        <v>162.79</v>
      </c>
      <c r="DN29" s="109"/>
      <c r="DO29" s="109"/>
      <c r="DP29" s="109"/>
      <c r="DQ29" s="109"/>
      <c r="DR29" s="109"/>
      <c r="DS29" s="109"/>
      <c r="DT29" s="109"/>
      <c r="DU29" s="109"/>
      <c r="DV29" s="109"/>
      <c r="DW29" s="119">
        <f>SUMPRODUCT(DW30:DW31,F30:F31)/F29</f>
        <v>0</v>
      </c>
      <c r="DX29" s="112"/>
      <c r="DY29" s="119">
        <f t="shared" ref="DY29" si="17">SUM(DW29:DX29)</f>
        <v>0</v>
      </c>
      <c r="DZ29" s="91">
        <f>DW29*F29</f>
        <v>0</v>
      </c>
      <c r="EA29" s="91">
        <f>DX29*F29</f>
        <v>0</v>
      </c>
      <c r="EB29" s="91">
        <f>DY29*F29</f>
        <v>0</v>
      </c>
    </row>
    <row r="30" spans="1:134" s="93" customFormat="1" outlineLevel="2" x14ac:dyDescent="0.25">
      <c r="A30" s="63"/>
      <c r="B30" s="63"/>
      <c r="C30" s="100" t="s">
        <v>114</v>
      </c>
      <c r="D30" s="65" t="s">
        <v>106</v>
      </c>
      <c r="E30" s="112"/>
      <c r="F30" s="91">
        <f>$F$29*E30</f>
        <v>0</v>
      </c>
      <c r="G30" s="91"/>
      <c r="H30" s="91"/>
      <c r="I30" s="91"/>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91"/>
      <c r="AR30" s="91"/>
      <c r="AS30" s="91"/>
      <c r="AT30" s="109"/>
      <c r="AU30" s="109"/>
      <c r="AV30" s="109"/>
      <c r="AW30" s="109"/>
      <c r="AX30" s="109"/>
      <c r="AY30" s="109"/>
      <c r="AZ30" s="109"/>
      <c r="BA30" s="109"/>
      <c r="BB30" s="109"/>
      <c r="BC30" s="109"/>
      <c r="BD30" s="109"/>
      <c r="BE30" s="109"/>
      <c r="BF30" s="109"/>
      <c r="BG30" s="109"/>
      <c r="BH30" s="109"/>
      <c r="BI30" s="91"/>
      <c r="BJ30" s="91"/>
      <c r="BK30" s="91"/>
      <c r="BL30" s="109"/>
      <c r="BM30" s="109"/>
      <c r="BN30" s="109"/>
      <c r="BO30" s="109"/>
      <c r="BP30" s="109"/>
      <c r="BQ30" s="109"/>
      <c r="BR30" s="109"/>
      <c r="BS30" s="109"/>
      <c r="BT30" s="109"/>
      <c r="BU30" s="109"/>
      <c r="BV30" s="109"/>
      <c r="BW30" s="109"/>
      <c r="BX30" s="109"/>
      <c r="BY30" s="109"/>
      <c r="BZ30" s="109"/>
      <c r="CA30" s="91"/>
      <c r="CB30" s="91"/>
      <c r="CC30" s="91"/>
      <c r="CD30" s="109"/>
      <c r="CE30" s="109"/>
      <c r="CF30" s="109"/>
      <c r="CG30" s="109"/>
      <c r="CH30" s="109"/>
      <c r="CI30" s="109"/>
      <c r="CJ30" s="109"/>
      <c r="CK30" s="109"/>
      <c r="CL30" s="109"/>
      <c r="CM30" s="109"/>
      <c r="CN30" s="109"/>
      <c r="CO30" s="109"/>
      <c r="CP30" s="109"/>
      <c r="CQ30" s="109"/>
      <c r="CR30" s="109"/>
      <c r="CS30" s="91"/>
      <c r="CT30" s="91"/>
      <c r="CU30" s="91"/>
      <c r="CV30" s="109"/>
      <c r="CW30" s="109"/>
      <c r="CX30" s="109"/>
      <c r="CY30" s="109"/>
      <c r="CZ30" s="109"/>
      <c r="DA30" s="109"/>
      <c r="DB30" s="109"/>
      <c r="DC30" s="109"/>
      <c r="DD30" s="109"/>
      <c r="DE30" s="109"/>
      <c r="DF30" s="109"/>
      <c r="DG30" s="109"/>
      <c r="DH30" s="109"/>
      <c r="DI30" s="109"/>
      <c r="DJ30" s="109"/>
      <c r="DK30" s="91"/>
      <c r="DL30" s="91"/>
      <c r="DM30" s="91"/>
      <c r="DN30" s="109"/>
      <c r="DO30" s="109"/>
      <c r="DP30" s="109"/>
      <c r="DQ30" s="109"/>
      <c r="DR30" s="109"/>
      <c r="DS30" s="109"/>
      <c r="DT30" s="109"/>
      <c r="DU30" s="109"/>
      <c r="DV30" s="109"/>
      <c r="DW30" s="112"/>
      <c r="DX30" s="119"/>
      <c r="DY30" s="119"/>
      <c r="DZ30" s="91"/>
      <c r="EA30" s="91"/>
      <c r="EB30" s="91"/>
    </row>
    <row r="31" spans="1:134" s="93" customFormat="1" outlineLevel="2" x14ac:dyDescent="0.25">
      <c r="A31" s="63"/>
      <c r="B31" s="63"/>
      <c r="C31" s="100" t="s">
        <v>113</v>
      </c>
      <c r="D31" s="65" t="s">
        <v>105</v>
      </c>
      <c r="E31" s="112"/>
      <c r="F31" s="91">
        <f>$F$29*E31</f>
        <v>0</v>
      </c>
      <c r="G31" s="91"/>
      <c r="H31" s="91"/>
      <c r="I31" s="91"/>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91"/>
      <c r="AR31" s="91"/>
      <c r="AS31" s="91"/>
      <c r="AT31" s="109"/>
      <c r="AU31" s="109"/>
      <c r="AV31" s="109"/>
      <c r="AW31" s="109"/>
      <c r="AX31" s="109"/>
      <c r="AY31" s="109"/>
      <c r="AZ31" s="109"/>
      <c r="BA31" s="109"/>
      <c r="BB31" s="109"/>
      <c r="BC31" s="109"/>
      <c r="BD31" s="109"/>
      <c r="BE31" s="109"/>
      <c r="BF31" s="109"/>
      <c r="BG31" s="109"/>
      <c r="BH31" s="109"/>
      <c r="BI31" s="91"/>
      <c r="BJ31" s="91"/>
      <c r="BK31" s="91"/>
      <c r="BL31" s="109"/>
      <c r="BM31" s="109"/>
      <c r="BN31" s="109"/>
      <c r="BO31" s="109"/>
      <c r="BP31" s="109"/>
      <c r="BQ31" s="109"/>
      <c r="BR31" s="109"/>
      <c r="BS31" s="109"/>
      <c r="BT31" s="109"/>
      <c r="BU31" s="109"/>
      <c r="BV31" s="109"/>
      <c r="BW31" s="109"/>
      <c r="BX31" s="109"/>
      <c r="BY31" s="109"/>
      <c r="BZ31" s="109"/>
      <c r="CA31" s="91"/>
      <c r="CB31" s="91"/>
      <c r="CC31" s="91"/>
      <c r="CD31" s="109"/>
      <c r="CE31" s="109"/>
      <c r="CF31" s="109"/>
      <c r="CG31" s="109"/>
      <c r="CH31" s="109"/>
      <c r="CI31" s="109"/>
      <c r="CJ31" s="109"/>
      <c r="CK31" s="109"/>
      <c r="CL31" s="109"/>
      <c r="CM31" s="109"/>
      <c r="CN31" s="109"/>
      <c r="CO31" s="109"/>
      <c r="CP31" s="109"/>
      <c r="CQ31" s="109"/>
      <c r="CR31" s="109"/>
      <c r="CS31" s="91"/>
      <c r="CT31" s="91"/>
      <c r="CU31" s="91"/>
      <c r="CV31" s="109"/>
      <c r="CW31" s="109"/>
      <c r="CX31" s="109"/>
      <c r="CY31" s="109"/>
      <c r="CZ31" s="109"/>
      <c r="DA31" s="109"/>
      <c r="DB31" s="109"/>
      <c r="DC31" s="109"/>
      <c r="DD31" s="109"/>
      <c r="DE31" s="109"/>
      <c r="DF31" s="109"/>
      <c r="DG31" s="109"/>
      <c r="DH31" s="109"/>
      <c r="DI31" s="109"/>
      <c r="DJ31" s="109"/>
      <c r="DK31" s="91"/>
      <c r="DL31" s="91"/>
      <c r="DM31" s="91"/>
      <c r="DN31" s="109"/>
      <c r="DO31" s="109"/>
      <c r="DP31" s="109"/>
      <c r="DQ31" s="109"/>
      <c r="DR31" s="109"/>
      <c r="DS31" s="109"/>
      <c r="DT31" s="109"/>
      <c r="DU31" s="109"/>
      <c r="DV31" s="109"/>
      <c r="DW31" s="112"/>
      <c r="DX31" s="119"/>
      <c r="DY31" s="119"/>
      <c r="DZ31" s="91"/>
      <c r="EA31" s="91"/>
      <c r="EB31" s="91"/>
    </row>
    <row r="32" spans="1:134" s="31" customFormat="1" ht="18.75" customHeight="1" x14ac:dyDescent="0.25">
      <c r="A32" s="69"/>
      <c r="B32" s="69" t="s">
        <v>22</v>
      </c>
      <c r="C32" s="95" t="s">
        <v>103</v>
      </c>
      <c r="D32" s="71" t="s">
        <v>19</v>
      </c>
      <c r="E32" s="94"/>
      <c r="F32" s="94">
        <f>F33</f>
        <v>1231.68</v>
      </c>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115"/>
      <c r="DX32" s="115"/>
      <c r="DY32" s="115"/>
      <c r="DZ32" s="115"/>
      <c r="EA32" s="115"/>
      <c r="EB32" s="115"/>
      <c r="ED32" s="77"/>
    </row>
    <row r="33" spans="1:132" s="32" customFormat="1" outlineLevel="1" x14ac:dyDescent="0.25">
      <c r="A33" s="63"/>
      <c r="B33" s="63" t="s">
        <v>23</v>
      </c>
      <c r="C33" s="64" t="s">
        <v>123</v>
      </c>
      <c r="D33" s="65" t="s">
        <v>19</v>
      </c>
      <c r="E33" s="91"/>
      <c r="F33" s="91">
        <f>G33+Y33+AQ33+BI33+CA33+CS33+DK33</f>
        <v>1231.68</v>
      </c>
      <c r="G33" s="91">
        <f>SUM(J33:X33)</f>
        <v>188.1</v>
      </c>
      <c r="H33" s="91"/>
      <c r="I33" s="91"/>
      <c r="J33" s="91">
        <f>5040/1000*2.95-(1.11*2.1)</f>
        <v>12.54</v>
      </c>
      <c r="K33" s="91">
        <f t="shared" ref="K33:X33" si="18">5040/1000*2.95-(1.11*2.1)</f>
        <v>12.54</v>
      </c>
      <c r="L33" s="91">
        <f t="shared" si="18"/>
        <v>12.54</v>
      </c>
      <c r="M33" s="91">
        <f t="shared" si="18"/>
        <v>12.54</v>
      </c>
      <c r="N33" s="91">
        <f t="shared" si="18"/>
        <v>12.54</v>
      </c>
      <c r="O33" s="91">
        <f t="shared" si="18"/>
        <v>12.54</v>
      </c>
      <c r="P33" s="91">
        <f t="shared" si="18"/>
        <v>12.54</v>
      </c>
      <c r="Q33" s="91">
        <f t="shared" si="18"/>
        <v>12.54</v>
      </c>
      <c r="R33" s="91">
        <f t="shared" si="18"/>
        <v>12.54</v>
      </c>
      <c r="S33" s="91">
        <f t="shared" si="18"/>
        <v>12.54</v>
      </c>
      <c r="T33" s="91">
        <f t="shared" si="18"/>
        <v>12.54</v>
      </c>
      <c r="U33" s="91">
        <f t="shared" si="18"/>
        <v>12.54</v>
      </c>
      <c r="V33" s="91">
        <f t="shared" si="18"/>
        <v>12.54</v>
      </c>
      <c r="W33" s="91">
        <f t="shared" si="18"/>
        <v>12.54</v>
      </c>
      <c r="X33" s="91">
        <f t="shared" si="18"/>
        <v>12.54</v>
      </c>
      <c r="Y33" s="92">
        <f>SUM(AB33:AP33)</f>
        <v>188.1</v>
      </c>
      <c r="Z33" s="92"/>
      <c r="AA33" s="92"/>
      <c r="AB33" s="91">
        <f t="shared" ref="AB33:AP33" si="19">5040/1000*2.95-(1.11*2.1)</f>
        <v>12.54</v>
      </c>
      <c r="AC33" s="91">
        <f t="shared" si="19"/>
        <v>12.54</v>
      </c>
      <c r="AD33" s="91">
        <f t="shared" si="19"/>
        <v>12.54</v>
      </c>
      <c r="AE33" s="91">
        <f t="shared" si="19"/>
        <v>12.54</v>
      </c>
      <c r="AF33" s="91">
        <f t="shared" si="19"/>
        <v>12.54</v>
      </c>
      <c r="AG33" s="91">
        <f t="shared" si="19"/>
        <v>12.54</v>
      </c>
      <c r="AH33" s="91">
        <f t="shared" si="19"/>
        <v>12.54</v>
      </c>
      <c r="AI33" s="91">
        <f t="shared" si="19"/>
        <v>12.54</v>
      </c>
      <c r="AJ33" s="91">
        <f t="shared" si="19"/>
        <v>12.54</v>
      </c>
      <c r="AK33" s="91">
        <f t="shared" si="19"/>
        <v>12.54</v>
      </c>
      <c r="AL33" s="91">
        <f t="shared" si="19"/>
        <v>12.54</v>
      </c>
      <c r="AM33" s="91">
        <f t="shared" si="19"/>
        <v>12.54</v>
      </c>
      <c r="AN33" s="91">
        <f t="shared" si="19"/>
        <v>12.54</v>
      </c>
      <c r="AO33" s="91">
        <f t="shared" si="19"/>
        <v>12.54</v>
      </c>
      <c r="AP33" s="91">
        <f t="shared" si="19"/>
        <v>12.54</v>
      </c>
      <c r="AQ33" s="91">
        <f>SUM(AT33:BH33)</f>
        <v>188.1</v>
      </c>
      <c r="AR33" s="91"/>
      <c r="AS33" s="91"/>
      <c r="AT33" s="91">
        <f t="shared" ref="AT33:BH33" si="20">5040/1000*2.95-(1.11*2.1)</f>
        <v>12.54</v>
      </c>
      <c r="AU33" s="91">
        <f t="shared" si="20"/>
        <v>12.54</v>
      </c>
      <c r="AV33" s="91">
        <f t="shared" si="20"/>
        <v>12.54</v>
      </c>
      <c r="AW33" s="91">
        <f t="shared" si="20"/>
        <v>12.54</v>
      </c>
      <c r="AX33" s="91">
        <f t="shared" si="20"/>
        <v>12.54</v>
      </c>
      <c r="AY33" s="91">
        <f t="shared" si="20"/>
        <v>12.54</v>
      </c>
      <c r="AZ33" s="91">
        <f t="shared" si="20"/>
        <v>12.54</v>
      </c>
      <c r="BA33" s="91">
        <f t="shared" si="20"/>
        <v>12.54</v>
      </c>
      <c r="BB33" s="91">
        <f t="shared" si="20"/>
        <v>12.54</v>
      </c>
      <c r="BC33" s="91">
        <f t="shared" si="20"/>
        <v>12.54</v>
      </c>
      <c r="BD33" s="91">
        <f t="shared" si="20"/>
        <v>12.54</v>
      </c>
      <c r="BE33" s="91">
        <f t="shared" si="20"/>
        <v>12.54</v>
      </c>
      <c r="BF33" s="91">
        <f t="shared" si="20"/>
        <v>12.54</v>
      </c>
      <c r="BG33" s="91">
        <f t="shared" si="20"/>
        <v>12.54</v>
      </c>
      <c r="BH33" s="91">
        <f t="shared" si="20"/>
        <v>12.54</v>
      </c>
      <c r="BI33" s="91">
        <f>SUM(BL33:BZ33)</f>
        <v>188.1</v>
      </c>
      <c r="BJ33" s="91"/>
      <c r="BK33" s="91"/>
      <c r="BL33" s="91">
        <f>5040/1000*2.95-(1.11*2.1)</f>
        <v>12.54</v>
      </c>
      <c r="BM33" s="91">
        <f t="shared" ref="BM33:BZ33" si="21">5040/1000*2.95-(1.11*2.1)</f>
        <v>12.54</v>
      </c>
      <c r="BN33" s="91">
        <f t="shared" si="21"/>
        <v>12.54</v>
      </c>
      <c r="BO33" s="91">
        <f t="shared" si="21"/>
        <v>12.54</v>
      </c>
      <c r="BP33" s="91">
        <f t="shared" si="21"/>
        <v>12.54</v>
      </c>
      <c r="BQ33" s="91">
        <f t="shared" si="21"/>
        <v>12.54</v>
      </c>
      <c r="BR33" s="91">
        <f t="shared" si="21"/>
        <v>12.54</v>
      </c>
      <c r="BS33" s="91">
        <f t="shared" si="21"/>
        <v>12.54</v>
      </c>
      <c r="BT33" s="91">
        <f t="shared" si="21"/>
        <v>12.54</v>
      </c>
      <c r="BU33" s="91">
        <f t="shared" si="21"/>
        <v>12.54</v>
      </c>
      <c r="BV33" s="91">
        <f t="shared" si="21"/>
        <v>12.54</v>
      </c>
      <c r="BW33" s="91">
        <f t="shared" si="21"/>
        <v>12.54</v>
      </c>
      <c r="BX33" s="91">
        <f t="shared" si="21"/>
        <v>12.54</v>
      </c>
      <c r="BY33" s="91">
        <f t="shared" si="21"/>
        <v>12.54</v>
      </c>
      <c r="BZ33" s="91">
        <f t="shared" si="21"/>
        <v>12.54</v>
      </c>
      <c r="CA33" s="91">
        <f>SUM(CD33:CR33)</f>
        <v>188.1</v>
      </c>
      <c r="CB33" s="91"/>
      <c r="CC33" s="91"/>
      <c r="CD33" s="91">
        <f>5040/1000*2.95-(1.11*2.1)</f>
        <v>12.54</v>
      </c>
      <c r="CE33" s="91">
        <f>5040/1000*2.95-(1.11*2.1)</f>
        <v>12.54</v>
      </c>
      <c r="CF33" s="91">
        <f t="shared" ref="CF33:CR33" si="22">5040/1000*2.95-(1.11*2.1)</f>
        <v>12.54</v>
      </c>
      <c r="CG33" s="91">
        <f t="shared" si="22"/>
        <v>12.54</v>
      </c>
      <c r="CH33" s="91">
        <f t="shared" si="22"/>
        <v>12.54</v>
      </c>
      <c r="CI33" s="91">
        <f t="shared" si="22"/>
        <v>12.54</v>
      </c>
      <c r="CJ33" s="91">
        <f t="shared" si="22"/>
        <v>12.54</v>
      </c>
      <c r="CK33" s="91">
        <f t="shared" si="22"/>
        <v>12.54</v>
      </c>
      <c r="CL33" s="91">
        <f t="shared" si="22"/>
        <v>12.54</v>
      </c>
      <c r="CM33" s="91">
        <f t="shared" si="22"/>
        <v>12.54</v>
      </c>
      <c r="CN33" s="91">
        <f t="shared" si="22"/>
        <v>12.54</v>
      </c>
      <c r="CO33" s="91">
        <f t="shared" si="22"/>
        <v>12.54</v>
      </c>
      <c r="CP33" s="91">
        <f t="shared" si="22"/>
        <v>12.54</v>
      </c>
      <c r="CQ33" s="91">
        <f t="shared" si="22"/>
        <v>12.54</v>
      </c>
      <c r="CR33" s="91">
        <f t="shared" si="22"/>
        <v>12.54</v>
      </c>
      <c r="CS33" s="91">
        <f>SUM(CV33:DJ33)</f>
        <v>177.24</v>
      </c>
      <c r="CT33" s="91"/>
      <c r="CU33" s="91"/>
      <c r="CV33" s="91">
        <f>5080/1000*2.95-(1.11*2.1)</f>
        <v>12.66</v>
      </c>
      <c r="CW33" s="91">
        <f>5080/1000*2.95-(1.11*2.1)</f>
        <v>12.66</v>
      </c>
      <c r="CX33" s="91">
        <f>5080/1000*2.95-(1.11*2.1)</f>
        <v>12.66</v>
      </c>
      <c r="CY33" s="91">
        <f t="shared" ref="CY33:DI33" si="23">5080/1000*2.95-(1.11*2.1)</f>
        <v>12.66</v>
      </c>
      <c r="CZ33" s="91">
        <f t="shared" si="23"/>
        <v>12.66</v>
      </c>
      <c r="DA33" s="91">
        <f t="shared" si="23"/>
        <v>12.66</v>
      </c>
      <c r="DB33" s="91">
        <f t="shared" si="23"/>
        <v>12.66</v>
      </c>
      <c r="DC33" s="91">
        <f t="shared" si="23"/>
        <v>12.66</v>
      </c>
      <c r="DD33" s="91">
        <f t="shared" si="23"/>
        <v>12.66</v>
      </c>
      <c r="DE33" s="91">
        <f t="shared" si="23"/>
        <v>12.66</v>
      </c>
      <c r="DF33" s="91">
        <f t="shared" si="23"/>
        <v>12.66</v>
      </c>
      <c r="DG33" s="91">
        <f t="shared" si="23"/>
        <v>12.66</v>
      </c>
      <c r="DH33" s="91">
        <f t="shared" si="23"/>
        <v>12.66</v>
      </c>
      <c r="DI33" s="91">
        <f t="shared" si="23"/>
        <v>12.66</v>
      </c>
      <c r="DJ33" s="91">
        <v>0</v>
      </c>
      <c r="DK33" s="91">
        <f>SUM(DN33:DV33)</f>
        <v>113.94</v>
      </c>
      <c r="DL33" s="91"/>
      <c r="DM33" s="91"/>
      <c r="DN33" s="91">
        <f>5080/1000*2.95-(1.11*2.1)</f>
        <v>12.66</v>
      </c>
      <c r="DO33" s="91">
        <f>5080/1000*2.95-(1.11*2.1)</f>
        <v>12.66</v>
      </c>
      <c r="DP33" s="91">
        <f t="shared" ref="DP33:DV33" si="24">5080/1000*2.95-(1.11*2.1)</f>
        <v>12.66</v>
      </c>
      <c r="DQ33" s="91">
        <f t="shared" si="24"/>
        <v>12.66</v>
      </c>
      <c r="DR33" s="91">
        <f t="shared" si="24"/>
        <v>12.66</v>
      </c>
      <c r="DS33" s="91">
        <f t="shared" si="24"/>
        <v>12.66</v>
      </c>
      <c r="DT33" s="91">
        <f t="shared" si="24"/>
        <v>12.66</v>
      </c>
      <c r="DU33" s="91">
        <f t="shared" si="24"/>
        <v>12.66</v>
      </c>
      <c r="DV33" s="91">
        <f t="shared" si="24"/>
        <v>12.66</v>
      </c>
      <c r="DW33" s="119">
        <f>SUMPRODUCT(DW34:DW35,F34:F35)/F33</f>
        <v>0</v>
      </c>
      <c r="DX33" s="112"/>
      <c r="DY33" s="119">
        <f t="shared" ref="DY33" si="25">SUM(DW33:DX33)</f>
        <v>0</v>
      </c>
      <c r="DZ33" s="91">
        <f>DW33*F33</f>
        <v>0</v>
      </c>
      <c r="EA33" s="91">
        <f>DX33*F33</f>
        <v>0</v>
      </c>
      <c r="EB33" s="91">
        <f>DY33*F33</f>
        <v>0</v>
      </c>
    </row>
    <row r="34" spans="1:132" s="32" customFormat="1" outlineLevel="2" x14ac:dyDescent="0.25">
      <c r="A34" s="63"/>
      <c r="B34" s="63"/>
      <c r="C34" s="100" t="s">
        <v>114</v>
      </c>
      <c r="D34" s="65" t="s">
        <v>106</v>
      </c>
      <c r="E34" s="112"/>
      <c r="F34" s="91">
        <f>$F$33*E34</f>
        <v>0</v>
      </c>
      <c r="G34" s="91"/>
      <c r="H34" s="91"/>
      <c r="I34" s="91"/>
      <c r="J34" s="91"/>
      <c r="K34" s="91"/>
      <c r="L34" s="91"/>
      <c r="M34" s="91"/>
      <c r="N34" s="91"/>
      <c r="O34" s="91"/>
      <c r="P34" s="91"/>
      <c r="Q34" s="91"/>
      <c r="R34" s="91"/>
      <c r="S34" s="91"/>
      <c r="T34" s="91"/>
      <c r="U34" s="91"/>
      <c r="V34" s="91"/>
      <c r="W34" s="91"/>
      <c r="X34" s="91"/>
      <c r="Y34" s="92"/>
      <c r="Z34" s="92"/>
      <c r="AA34" s="92"/>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112"/>
      <c r="DX34" s="119"/>
      <c r="DY34" s="119"/>
      <c r="DZ34" s="91"/>
      <c r="EA34" s="91"/>
      <c r="EB34" s="91"/>
    </row>
    <row r="35" spans="1:132" s="32" customFormat="1" outlineLevel="2" x14ac:dyDescent="0.25">
      <c r="A35" s="63"/>
      <c r="B35" s="63"/>
      <c r="C35" s="100" t="s">
        <v>113</v>
      </c>
      <c r="D35" s="65" t="s">
        <v>105</v>
      </c>
      <c r="E35" s="112"/>
      <c r="F35" s="91">
        <f>$F$33*E35</f>
        <v>0</v>
      </c>
      <c r="G35" s="91"/>
      <c r="H35" s="91"/>
      <c r="I35" s="91"/>
      <c r="J35" s="91"/>
      <c r="K35" s="91"/>
      <c r="L35" s="91"/>
      <c r="M35" s="91"/>
      <c r="N35" s="91"/>
      <c r="O35" s="91"/>
      <c r="P35" s="91"/>
      <c r="Q35" s="91"/>
      <c r="R35" s="91"/>
      <c r="S35" s="91"/>
      <c r="T35" s="91"/>
      <c r="U35" s="91"/>
      <c r="V35" s="91"/>
      <c r="W35" s="91"/>
      <c r="X35" s="91"/>
      <c r="Y35" s="92"/>
      <c r="Z35" s="92"/>
      <c r="AA35" s="92"/>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112"/>
      <c r="DX35" s="119"/>
      <c r="DY35" s="119"/>
      <c r="DZ35" s="91"/>
      <c r="EA35" s="91"/>
      <c r="EB35" s="91"/>
    </row>
    <row r="36" spans="1:132" s="32" customFormat="1" x14ac:dyDescent="0.25">
      <c r="A36" s="69"/>
      <c r="B36" s="69" t="s">
        <v>95</v>
      </c>
      <c r="C36" s="95" t="s">
        <v>110</v>
      </c>
      <c r="D36" s="71" t="s">
        <v>19</v>
      </c>
      <c r="E36" s="94"/>
      <c r="F36" s="94">
        <f>F37</f>
        <v>12193.83</v>
      </c>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115"/>
      <c r="DX36" s="115"/>
      <c r="DY36" s="115"/>
      <c r="DZ36" s="115"/>
      <c r="EA36" s="115"/>
      <c r="EB36" s="115"/>
    </row>
    <row r="37" spans="1:132" s="32" customFormat="1" outlineLevel="1" x14ac:dyDescent="0.25">
      <c r="A37" s="63"/>
      <c r="B37" s="63" t="s">
        <v>24</v>
      </c>
      <c r="C37" s="64" t="s">
        <v>121</v>
      </c>
      <c r="D37" s="65" t="s">
        <v>19</v>
      </c>
      <c r="E37" s="91"/>
      <c r="F37" s="91">
        <f>G37+Y37+AQ37+BI37+CA37+CS37+DK37</f>
        <v>12193.83</v>
      </c>
      <c r="G37" s="91">
        <f>SUM(J37:X37)</f>
        <v>1546.47</v>
      </c>
      <c r="H37" s="91"/>
      <c r="I37" s="91"/>
      <c r="J37" s="91">
        <f>24.79*2.95-(1.05*2.1*6+1.25*2.1*2)</f>
        <v>54.65</v>
      </c>
      <c r="K37" s="91">
        <f>24.79*2.95-(1.05*2.1*6+1.25*2.1*2)</f>
        <v>54.65</v>
      </c>
      <c r="L37" s="91">
        <f>47.36*2.95-(1.05*2.1*10+1.25*2.1*2)</f>
        <v>112.41</v>
      </c>
      <c r="M37" s="91">
        <f t="shared" ref="M37:P37" si="26">47.36*2.95-(1.05*2.1*10+1.25*2.1*2)</f>
        <v>112.41</v>
      </c>
      <c r="N37" s="91">
        <f t="shared" si="26"/>
        <v>112.41</v>
      </c>
      <c r="O37" s="91">
        <f t="shared" si="26"/>
        <v>112.41</v>
      </c>
      <c r="P37" s="91">
        <f t="shared" si="26"/>
        <v>112.41</v>
      </c>
      <c r="Q37" s="91">
        <f>44.84*2.95-(1.05*2.1*8+1.25*2.1*2)</f>
        <v>109.39</v>
      </c>
      <c r="R37" s="91">
        <f t="shared" ref="R37:X37" si="27">44.84*2.95-(1.05*2.1*8+1.25*2.1*2)</f>
        <v>109.39</v>
      </c>
      <c r="S37" s="91">
        <f t="shared" si="27"/>
        <v>109.39</v>
      </c>
      <c r="T37" s="91">
        <f t="shared" si="27"/>
        <v>109.39</v>
      </c>
      <c r="U37" s="91">
        <f t="shared" si="27"/>
        <v>109.39</v>
      </c>
      <c r="V37" s="91">
        <f t="shared" si="27"/>
        <v>109.39</v>
      </c>
      <c r="W37" s="91">
        <f t="shared" si="27"/>
        <v>109.39</v>
      </c>
      <c r="X37" s="91">
        <f t="shared" si="27"/>
        <v>109.39</v>
      </c>
      <c r="Y37" s="92">
        <f>SUM(AB37:AP37)</f>
        <v>2387.7399999999998</v>
      </c>
      <c r="Z37" s="92"/>
      <c r="AA37" s="92"/>
      <c r="AB37" s="91">
        <f>70.2*2.95-(1.05*2.1*12+1.25*2.1*2)</f>
        <v>175.38</v>
      </c>
      <c r="AC37" s="91">
        <f>70.2*2.95-(1.05*2.1*12+1.25*2.1*2)</f>
        <v>175.38</v>
      </c>
      <c r="AD37" s="91">
        <f>65.1*2.95-(1.05*2.1*12+1.25*2.1*2)</f>
        <v>160.34</v>
      </c>
      <c r="AE37" s="91">
        <f t="shared" ref="AE37:AH37" si="28">65.1*2.95-(1.05*2.1*12+1.25*2.1*2)</f>
        <v>160.34</v>
      </c>
      <c r="AF37" s="91">
        <f t="shared" si="28"/>
        <v>160.34</v>
      </c>
      <c r="AG37" s="91">
        <f t="shared" si="28"/>
        <v>160.34</v>
      </c>
      <c r="AH37" s="91">
        <f t="shared" si="28"/>
        <v>160.34</v>
      </c>
      <c r="AI37" s="91">
        <f>60.1*2.95-(1.05*2.1*8+1.25*2.1*2)</f>
        <v>154.41</v>
      </c>
      <c r="AJ37" s="91">
        <f t="shared" ref="AJ37:AP37" si="29">60.1*2.95-(1.05*2.1*8+1.25*2.1*2)</f>
        <v>154.41</v>
      </c>
      <c r="AK37" s="91">
        <f t="shared" si="29"/>
        <v>154.41</v>
      </c>
      <c r="AL37" s="91">
        <f t="shared" si="29"/>
        <v>154.41</v>
      </c>
      <c r="AM37" s="91">
        <f t="shared" si="29"/>
        <v>154.41</v>
      </c>
      <c r="AN37" s="91">
        <f t="shared" si="29"/>
        <v>154.41</v>
      </c>
      <c r="AO37" s="91">
        <f t="shared" si="29"/>
        <v>154.41</v>
      </c>
      <c r="AP37" s="91">
        <f t="shared" si="29"/>
        <v>154.41</v>
      </c>
      <c r="AQ37" s="91">
        <f>SUM(AT37:BH37)</f>
        <v>2372.39</v>
      </c>
      <c r="AR37" s="91"/>
      <c r="AS37" s="91"/>
      <c r="AT37" s="91">
        <f>70.1*2.95-(1.05*2.1*13+1.25*2.1*2)</f>
        <v>172.88</v>
      </c>
      <c r="AU37" s="91">
        <f>70.1*2.95-(1.05*2.1*13+1.25*2.1*2)</f>
        <v>172.88</v>
      </c>
      <c r="AV37" s="91">
        <f>64.4*2.95-(1.05*2.1*12+1.25*2.1*2)</f>
        <v>158.27000000000001</v>
      </c>
      <c r="AW37" s="91">
        <f t="shared" ref="AW37:AZ37" si="30">64.4*2.95-(1.05*2.1*12+1.25*2.1*2)</f>
        <v>158.27000000000001</v>
      </c>
      <c r="AX37" s="91">
        <f t="shared" si="30"/>
        <v>158.27000000000001</v>
      </c>
      <c r="AY37" s="91">
        <f t="shared" si="30"/>
        <v>158.27000000000001</v>
      </c>
      <c r="AZ37" s="91">
        <f t="shared" si="30"/>
        <v>158.27000000000001</v>
      </c>
      <c r="BA37" s="91">
        <f>60.1*2.95-(1.05*2.1*8+1.25*2.1*2)</f>
        <v>154.41</v>
      </c>
      <c r="BB37" s="91">
        <f t="shared" ref="BB37:BH37" si="31">60.1*2.95-(1.05*2.1*8+1.25*2.1*2)</f>
        <v>154.41</v>
      </c>
      <c r="BC37" s="91">
        <f t="shared" si="31"/>
        <v>154.41</v>
      </c>
      <c r="BD37" s="91">
        <f t="shared" si="31"/>
        <v>154.41</v>
      </c>
      <c r="BE37" s="91">
        <f t="shared" si="31"/>
        <v>154.41</v>
      </c>
      <c r="BF37" s="91">
        <f t="shared" si="31"/>
        <v>154.41</v>
      </c>
      <c r="BG37" s="91">
        <f t="shared" si="31"/>
        <v>154.41</v>
      </c>
      <c r="BH37" s="91">
        <f t="shared" si="31"/>
        <v>154.41</v>
      </c>
      <c r="BI37" s="91">
        <f>SUM(BL37:BZ37)</f>
        <v>1351.63</v>
      </c>
      <c r="BJ37" s="91"/>
      <c r="BK37" s="91"/>
      <c r="BL37" s="91">
        <f>77.6*2.95-(1.05*2.1*14+1.25*2.1*2)</f>
        <v>192.8</v>
      </c>
      <c r="BM37" s="91">
        <f>77.6*2.95-(1.05*2.1*14+1.25*2.1*2)</f>
        <v>192.8</v>
      </c>
      <c r="BN37" s="91">
        <f>32.2*2.95-(1.05*2.1*7+1.25*2.1*2)</f>
        <v>74.31</v>
      </c>
      <c r="BO37" s="91">
        <f t="shared" ref="BO37:BZ37" si="32">32.2*2.95-(1.05*2.1*7+1.25*2.1*2)</f>
        <v>74.31</v>
      </c>
      <c r="BP37" s="91">
        <f t="shared" si="32"/>
        <v>74.31</v>
      </c>
      <c r="BQ37" s="91">
        <f t="shared" si="32"/>
        <v>74.31</v>
      </c>
      <c r="BR37" s="91">
        <f t="shared" si="32"/>
        <v>74.31</v>
      </c>
      <c r="BS37" s="91">
        <f t="shared" si="32"/>
        <v>74.31</v>
      </c>
      <c r="BT37" s="91">
        <f t="shared" si="32"/>
        <v>74.31</v>
      </c>
      <c r="BU37" s="91">
        <f t="shared" si="32"/>
        <v>74.31</v>
      </c>
      <c r="BV37" s="91">
        <f t="shared" si="32"/>
        <v>74.31</v>
      </c>
      <c r="BW37" s="91">
        <f t="shared" si="32"/>
        <v>74.31</v>
      </c>
      <c r="BX37" s="91">
        <f t="shared" si="32"/>
        <v>74.31</v>
      </c>
      <c r="BY37" s="91">
        <f t="shared" si="32"/>
        <v>74.31</v>
      </c>
      <c r="BZ37" s="91">
        <f t="shared" si="32"/>
        <v>74.31</v>
      </c>
      <c r="CA37" s="91">
        <f>SUM(CD37:CR37)</f>
        <v>1446.9</v>
      </c>
      <c r="CB37" s="91"/>
      <c r="CC37" s="91"/>
      <c r="CD37" s="91">
        <f>78.7*2.95-(1.05*2.1*13+1.25*2.1*2)</f>
        <v>198.25</v>
      </c>
      <c r="CE37" s="91">
        <f>78.7*2.95-(1.05*2.1*13+1.25*2.1*2)</f>
        <v>198.25</v>
      </c>
      <c r="CF37" s="91">
        <f>34.4*2.95-(1.05*2.1*7+1.25*2.1*2)</f>
        <v>80.8</v>
      </c>
      <c r="CG37" s="91">
        <f t="shared" ref="CG37:CR37" si="33">34.4*2.95-(1.05*2.1*7+1.25*2.1*2)</f>
        <v>80.8</v>
      </c>
      <c r="CH37" s="91">
        <f t="shared" si="33"/>
        <v>80.8</v>
      </c>
      <c r="CI37" s="91">
        <f t="shared" si="33"/>
        <v>80.8</v>
      </c>
      <c r="CJ37" s="91">
        <f t="shared" si="33"/>
        <v>80.8</v>
      </c>
      <c r="CK37" s="91">
        <f t="shared" si="33"/>
        <v>80.8</v>
      </c>
      <c r="CL37" s="91">
        <f t="shared" si="33"/>
        <v>80.8</v>
      </c>
      <c r="CM37" s="91">
        <f t="shared" si="33"/>
        <v>80.8</v>
      </c>
      <c r="CN37" s="91">
        <f t="shared" si="33"/>
        <v>80.8</v>
      </c>
      <c r="CO37" s="91">
        <f t="shared" si="33"/>
        <v>80.8</v>
      </c>
      <c r="CP37" s="91">
        <f t="shared" si="33"/>
        <v>80.8</v>
      </c>
      <c r="CQ37" s="91">
        <f t="shared" si="33"/>
        <v>80.8</v>
      </c>
      <c r="CR37" s="91">
        <f t="shared" si="33"/>
        <v>80.8</v>
      </c>
      <c r="CS37" s="91">
        <f>SUM(CV37:DJ37)</f>
        <v>1710.37</v>
      </c>
      <c r="CT37" s="91"/>
      <c r="CU37" s="91"/>
      <c r="CV37" s="91">
        <f>48.1*2.95-(1.05*2.1*10+1.25*2.1*2)</f>
        <v>114.6</v>
      </c>
      <c r="CW37" s="91">
        <f>48.1*2.95-(1.05*2.1*10+1.25*2.1*2)</f>
        <v>114.6</v>
      </c>
      <c r="CX37" s="91">
        <f>45.7*2.95-(1.05*2.1*7+1.25*2.1*2)</f>
        <v>114.13</v>
      </c>
      <c r="CY37" s="91">
        <f t="shared" ref="CY37:DD37" si="34">45.7*2.95-(1.05*2.1*7+1.25*2.1*2)</f>
        <v>114.13</v>
      </c>
      <c r="CZ37" s="91">
        <f t="shared" si="34"/>
        <v>114.13</v>
      </c>
      <c r="DA37" s="91">
        <f t="shared" si="34"/>
        <v>114.13</v>
      </c>
      <c r="DB37" s="91">
        <f t="shared" si="34"/>
        <v>114.13</v>
      </c>
      <c r="DC37" s="91">
        <f t="shared" si="34"/>
        <v>114.13</v>
      </c>
      <c r="DD37" s="91">
        <f t="shared" si="34"/>
        <v>114.13</v>
      </c>
      <c r="DE37" s="91">
        <f>84.9*2.95-(1.05*2.1*12+1.25*2.1*2)</f>
        <v>218.75</v>
      </c>
      <c r="DF37" s="91">
        <f>68.4*2.95-(1.05*2.1*10+1.25*2.1*2)</f>
        <v>174.48</v>
      </c>
      <c r="DG37" s="91">
        <f>52.3*2.95-(1.05*2.1*8+1.25*2.1*2)</f>
        <v>131.4</v>
      </c>
      <c r="DH37" s="91">
        <f>36.4*2.95-(1.05*2.1*6+1.25*2.1*2)</f>
        <v>88.9</v>
      </c>
      <c r="DI37" s="91">
        <f>21.5*2.95-(1.05*2.1*5+1.25*2.1*2)</f>
        <v>47.15</v>
      </c>
      <c r="DJ37" s="91">
        <f>9.7*2.95-(1.05*2.1*2+1.25*2.1)</f>
        <v>21.58</v>
      </c>
      <c r="DK37" s="91">
        <f>SUM(DN37:DV37)</f>
        <v>1378.33</v>
      </c>
      <c r="DL37" s="91"/>
      <c r="DM37" s="91"/>
      <c r="DN37" s="91">
        <f>73.6*2.95-(1.05*2.1*14+1.25*2.1*2)</f>
        <v>181</v>
      </c>
      <c r="DO37" s="91">
        <f>73.6*2.95-(1.05*2.1*14+1.25*2.1*2)</f>
        <v>181</v>
      </c>
      <c r="DP37" s="91">
        <f>72.3*2.95-(1.05*2.1*13+1.25*2.1*2)</f>
        <v>179.37</v>
      </c>
      <c r="DQ37" s="91">
        <f t="shared" ref="DQ37:DR37" si="35">72.3*2.95-(1.05*2.1*13+1.25*2.1*2)</f>
        <v>179.37</v>
      </c>
      <c r="DR37" s="91">
        <f t="shared" si="35"/>
        <v>179.37</v>
      </c>
      <c r="DS37" s="91">
        <f>71.9*2.95-(1.05*2.1*10+1.25*2.1*2)</f>
        <v>184.81</v>
      </c>
      <c r="DT37" s="91">
        <f>51.1*2.95-(1.05*2.1*9+1.25*2.1*2)</f>
        <v>125.65</v>
      </c>
      <c r="DU37" s="91">
        <f>41.1*2.95-(1.05*2.1*7+1.25*2.1*2)</f>
        <v>100.56</v>
      </c>
      <c r="DV37" s="91">
        <f>26.8*2.95-(1.05*2.1*3+1.25*2.1*2)</f>
        <v>67.2</v>
      </c>
      <c r="DW37" s="119">
        <f>SUMPRODUCT(DW38:DW39,F38:F39)/F37</f>
        <v>0</v>
      </c>
      <c r="DX37" s="112"/>
      <c r="DY37" s="119">
        <f t="shared" ref="DY37" si="36">SUM(DW37:DX37)</f>
        <v>0</v>
      </c>
      <c r="DZ37" s="91">
        <f>DW37*F37</f>
        <v>0</v>
      </c>
      <c r="EA37" s="91">
        <f>DX37*F37</f>
        <v>0</v>
      </c>
      <c r="EB37" s="91">
        <f>DY37*F37</f>
        <v>0</v>
      </c>
    </row>
    <row r="38" spans="1:132" s="32" customFormat="1" outlineLevel="2" x14ac:dyDescent="0.25">
      <c r="A38" s="63"/>
      <c r="B38" s="63"/>
      <c r="C38" s="100" t="s">
        <v>114</v>
      </c>
      <c r="D38" s="65" t="s">
        <v>106</v>
      </c>
      <c r="E38" s="112"/>
      <c r="F38" s="91">
        <f>$F$37*E38</f>
        <v>0</v>
      </c>
      <c r="G38" s="91"/>
      <c r="H38" s="91"/>
      <c r="I38" s="91"/>
      <c r="J38" s="91"/>
      <c r="K38" s="91"/>
      <c r="L38" s="91"/>
      <c r="M38" s="91"/>
      <c r="N38" s="91"/>
      <c r="O38" s="91"/>
      <c r="P38" s="91"/>
      <c r="Q38" s="91"/>
      <c r="R38" s="91"/>
      <c r="S38" s="91"/>
      <c r="T38" s="91"/>
      <c r="U38" s="91"/>
      <c r="V38" s="91"/>
      <c r="W38" s="91"/>
      <c r="X38" s="91"/>
      <c r="Y38" s="92"/>
      <c r="Z38" s="92"/>
      <c r="AA38" s="92"/>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112"/>
      <c r="DX38" s="119"/>
      <c r="DY38" s="119"/>
      <c r="DZ38" s="91"/>
      <c r="EA38" s="91"/>
      <c r="EB38" s="91"/>
    </row>
    <row r="39" spans="1:132" s="32" customFormat="1" outlineLevel="2" x14ac:dyDescent="0.25">
      <c r="A39" s="63"/>
      <c r="B39" s="63"/>
      <c r="C39" s="100" t="s">
        <v>120</v>
      </c>
      <c r="D39" s="65" t="s">
        <v>105</v>
      </c>
      <c r="E39" s="112"/>
      <c r="F39" s="91">
        <f>$F$37*E39</f>
        <v>0</v>
      </c>
      <c r="G39" s="91"/>
      <c r="H39" s="91"/>
      <c r="I39" s="91"/>
      <c r="J39" s="91"/>
      <c r="K39" s="91"/>
      <c r="L39" s="91"/>
      <c r="M39" s="91"/>
      <c r="N39" s="91"/>
      <c r="O39" s="91"/>
      <c r="P39" s="91"/>
      <c r="Q39" s="91"/>
      <c r="R39" s="91"/>
      <c r="S39" s="91"/>
      <c r="T39" s="91"/>
      <c r="U39" s="91"/>
      <c r="V39" s="91"/>
      <c r="W39" s="91"/>
      <c r="X39" s="91"/>
      <c r="Y39" s="92"/>
      <c r="Z39" s="92"/>
      <c r="AA39" s="92"/>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112"/>
      <c r="DX39" s="119"/>
      <c r="DY39" s="119"/>
      <c r="DZ39" s="91"/>
      <c r="EA39" s="91"/>
      <c r="EB39" s="91"/>
    </row>
    <row r="40" spans="1:132" s="32" customFormat="1" x14ac:dyDescent="0.25">
      <c r="A40" s="69"/>
      <c r="B40" s="69" t="s">
        <v>96</v>
      </c>
      <c r="C40" s="95" t="s">
        <v>157</v>
      </c>
      <c r="D40" s="71" t="s">
        <v>108</v>
      </c>
      <c r="E40" s="94"/>
      <c r="F40" s="94">
        <f>F41</f>
        <v>8331.5</v>
      </c>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115"/>
      <c r="DX40" s="115"/>
      <c r="DY40" s="115"/>
      <c r="DZ40" s="115"/>
      <c r="EA40" s="115"/>
      <c r="EB40" s="115"/>
    </row>
    <row r="41" spans="1:132" s="32" customFormat="1" ht="31.5" outlineLevel="1" x14ac:dyDescent="0.25">
      <c r="A41" s="63"/>
      <c r="B41" s="63" t="s">
        <v>97</v>
      </c>
      <c r="C41" s="64" t="s">
        <v>122</v>
      </c>
      <c r="D41" s="65" t="s">
        <v>108</v>
      </c>
      <c r="E41" s="91"/>
      <c r="F41" s="91">
        <f>G41+Y41+AQ41+BI41+CA41+CS41+DK41</f>
        <v>8331.5</v>
      </c>
      <c r="G41" s="91">
        <f>(1.05*12+1.25*4+2.1*32)*15</f>
        <v>1272</v>
      </c>
      <c r="H41" s="91"/>
      <c r="I41" s="91"/>
      <c r="J41" s="91"/>
      <c r="K41" s="91"/>
      <c r="L41" s="91"/>
      <c r="M41" s="91"/>
      <c r="N41" s="91"/>
      <c r="O41" s="91"/>
      <c r="P41" s="91"/>
      <c r="Q41" s="91"/>
      <c r="R41" s="91"/>
      <c r="S41" s="91"/>
      <c r="T41" s="91"/>
      <c r="U41" s="91"/>
      <c r="V41" s="91"/>
      <c r="W41" s="91"/>
      <c r="X41" s="91"/>
      <c r="Y41" s="91">
        <f>(1.05*12+1.25*4+2.1*32)*15</f>
        <v>1272</v>
      </c>
      <c r="Z41" s="91"/>
      <c r="AA41" s="91"/>
      <c r="AB41" s="91"/>
      <c r="AC41" s="91"/>
      <c r="AD41" s="91"/>
      <c r="AE41" s="91"/>
      <c r="AF41" s="91"/>
      <c r="AG41" s="91"/>
      <c r="AH41" s="91"/>
      <c r="AI41" s="91"/>
      <c r="AJ41" s="91"/>
      <c r="AK41" s="91"/>
      <c r="AL41" s="91"/>
      <c r="AM41" s="91"/>
      <c r="AN41" s="91"/>
      <c r="AO41" s="91"/>
      <c r="AP41" s="91"/>
      <c r="AQ41" s="91">
        <f>(1.05*12+1.25*4+2.1*32)*15</f>
        <v>1272</v>
      </c>
      <c r="AR41" s="91"/>
      <c r="AS41" s="91"/>
      <c r="AT41" s="91"/>
      <c r="AU41" s="91"/>
      <c r="AV41" s="91"/>
      <c r="AW41" s="91"/>
      <c r="AX41" s="91"/>
      <c r="AY41" s="91"/>
      <c r="AZ41" s="91"/>
      <c r="BA41" s="91"/>
      <c r="BB41" s="91"/>
      <c r="BC41" s="91"/>
      <c r="BD41" s="91"/>
      <c r="BE41" s="91"/>
      <c r="BF41" s="91"/>
      <c r="BG41" s="91"/>
      <c r="BH41" s="91"/>
      <c r="BI41" s="91">
        <f>(1.05*15+1.25*4+2.1*38)*15</f>
        <v>1508.25</v>
      </c>
      <c r="BJ41" s="91"/>
      <c r="BK41" s="91"/>
      <c r="BL41" s="91"/>
      <c r="BM41" s="91"/>
      <c r="BN41" s="91"/>
      <c r="BO41" s="91"/>
      <c r="BP41" s="91"/>
      <c r="BQ41" s="91"/>
      <c r="BR41" s="91"/>
      <c r="BS41" s="91"/>
      <c r="BT41" s="91"/>
      <c r="BU41" s="91"/>
      <c r="BV41" s="91"/>
      <c r="BW41" s="91"/>
      <c r="BX41" s="91"/>
      <c r="BY41" s="91"/>
      <c r="BZ41" s="91"/>
      <c r="CA41" s="91">
        <f>(1.05*14+1.25*4+2.1*36)*15</f>
        <v>1429.5</v>
      </c>
      <c r="CB41" s="91"/>
      <c r="CC41" s="91"/>
      <c r="CD41" s="91"/>
      <c r="CE41" s="91"/>
      <c r="CF41" s="91"/>
      <c r="CG41" s="91"/>
      <c r="CH41" s="91"/>
      <c r="CI41" s="91"/>
      <c r="CJ41" s="91"/>
      <c r="CK41" s="91"/>
      <c r="CL41" s="91"/>
      <c r="CM41" s="91"/>
      <c r="CN41" s="91"/>
      <c r="CO41" s="91"/>
      <c r="CP41" s="91"/>
      <c r="CQ41" s="91"/>
      <c r="CR41" s="91"/>
      <c r="CS41" s="91">
        <f>(1.05*10+1.25*4+2.1*28)*11+(1.05*36+1.25*23+2.1*59)</f>
        <v>1007.75</v>
      </c>
      <c r="CT41" s="91"/>
      <c r="CU41" s="91"/>
      <c r="CV41" s="91"/>
      <c r="CW41" s="91"/>
      <c r="CX41" s="91"/>
      <c r="CY41" s="91"/>
      <c r="CZ41" s="91"/>
      <c r="DA41" s="91"/>
      <c r="DB41" s="91"/>
      <c r="DC41" s="91"/>
      <c r="DD41" s="91"/>
      <c r="DE41" s="91"/>
      <c r="DF41" s="91"/>
      <c r="DG41" s="91"/>
      <c r="DH41" s="91"/>
      <c r="DI41" s="91"/>
      <c r="DJ41" s="91"/>
      <c r="DK41" s="91">
        <f>(1.05*15+1.25*4+2.1*38)*3+(1.05*27+1.25*24+2.1*100)</f>
        <v>570</v>
      </c>
      <c r="DL41" s="91"/>
      <c r="DM41" s="91"/>
      <c r="DN41" s="91"/>
      <c r="DO41" s="91"/>
      <c r="DP41" s="91"/>
      <c r="DQ41" s="91"/>
      <c r="DR41" s="91"/>
      <c r="DS41" s="91"/>
      <c r="DT41" s="91"/>
      <c r="DU41" s="91"/>
      <c r="DV41" s="91"/>
      <c r="DW41" s="119">
        <f>SUMPRODUCT(DW42:DW43,F42:F43)/F41</f>
        <v>0</v>
      </c>
      <c r="DX41" s="112"/>
      <c r="DY41" s="119">
        <f t="shared" ref="DY41" si="37">SUM(DW41:DX41)</f>
        <v>0</v>
      </c>
      <c r="DZ41" s="91">
        <f>DW41*F41</f>
        <v>0</v>
      </c>
      <c r="EA41" s="91">
        <f>DX41*F41</f>
        <v>0</v>
      </c>
      <c r="EB41" s="91">
        <f>DY41*F41</f>
        <v>0</v>
      </c>
    </row>
    <row r="42" spans="1:132" s="32" customFormat="1" outlineLevel="2" x14ac:dyDescent="0.25">
      <c r="A42" s="63"/>
      <c r="B42" s="63"/>
      <c r="C42" s="100" t="s">
        <v>114</v>
      </c>
      <c r="D42" s="65" t="s">
        <v>106</v>
      </c>
      <c r="E42" s="112"/>
      <c r="F42" s="91">
        <f>$F$41*E42</f>
        <v>0</v>
      </c>
      <c r="G42" s="91"/>
      <c r="H42" s="91"/>
      <c r="I42" s="91"/>
      <c r="J42" s="91"/>
      <c r="K42" s="91"/>
      <c r="L42" s="91"/>
      <c r="M42" s="91"/>
      <c r="N42" s="91"/>
      <c r="O42" s="91"/>
      <c r="P42" s="91"/>
      <c r="Q42" s="91"/>
      <c r="R42" s="91"/>
      <c r="S42" s="91"/>
      <c r="T42" s="91"/>
      <c r="U42" s="91"/>
      <c r="V42" s="91"/>
      <c r="W42" s="91"/>
      <c r="X42" s="91"/>
      <c r="Y42" s="92"/>
      <c r="Z42" s="92"/>
      <c r="AA42" s="92"/>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112"/>
      <c r="DX42" s="119"/>
      <c r="DY42" s="119"/>
      <c r="DZ42" s="91"/>
      <c r="EA42" s="91"/>
      <c r="EB42" s="91"/>
    </row>
    <row r="43" spans="1:132" s="32" customFormat="1" outlineLevel="2" x14ac:dyDescent="0.25">
      <c r="A43" s="63"/>
      <c r="B43" s="63"/>
      <c r="C43" s="100" t="s">
        <v>120</v>
      </c>
      <c r="D43" s="65" t="s">
        <v>105</v>
      </c>
      <c r="E43" s="112"/>
      <c r="F43" s="91">
        <f>$F$41*E43</f>
        <v>0</v>
      </c>
      <c r="G43" s="91"/>
      <c r="H43" s="91"/>
      <c r="I43" s="91"/>
      <c r="J43" s="91"/>
      <c r="K43" s="91"/>
      <c r="L43" s="91"/>
      <c r="M43" s="91"/>
      <c r="N43" s="91"/>
      <c r="O43" s="91"/>
      <c r="P43" s="91"/>
      <c r="Q43" s="91"/>
      <c r="R43" s="91"/>
      <c r="S43" s="91"/>
      <c r="T43" s="91"/>
      <c r="U43" s="91"/>
      <c r="V43" s="91"/>
      <c r="W43" s="91"/>
      <c r="X43" s="91"/>
      <c r="Y43" s="92"/>
      <c r="Z43" s="92"/>
      <c r="AA43" s="92"/>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112"/>
      <c r="DX43" s="119"/>
      <c r="DY43" s="119"/>
      <c r="DZ43" s="91"/>
      <c r="EA43" s="91"/>
      <c r="EB43" s="91"/>
    </row>
    <row r="44" spans="1:132" s="32" customFormat="1" x14ac:dyDescent="0.25">
      <c r="A44" s="69"/>
      <c r="B44" s="69" t="s">
        <v>160</v>
      </c>
      <c r="C44" s="95" t="s">
        <v>159</v>
      </c>
      <c r="D44" s="71" t="s">
        <v>108</v>
      </c>
      <c r="E44" s="94"/>
      <c r="F44" s="94">
        <f>F45</f>
        <v>7</v>
      </c>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115"/>
      <c r="DX44" s="115"/>
      <c r="DY44" s="115"/>
      <c r="DZ44" s="115"/>
      <c r="EA44" s="115"/>
      <c r="EB44" s="115"/>
    </row>
    <row r="45" spans="1:132" s="32" customFormat="1" ht="31.5" outlineLevel="1" x14ac:dyDescent="0.25">
      <c r="A45" s="63"/>
      <c r="B45" s="63" t="s">
        <v>161</v>
      </c>
      <c r="C45" s="64" t="s">
        <v>158</v>
      </c>
      <c r="D45" s="65" t="s">
        <v>108</v>
      </c>
      <c r="E45" s="91"/>
      <c r="F45" s="91">
        <f>G45+Y45+AQ45+BI45+CA45+CS45+DK45</f>
        <v>7</v>
      </c>
      <c r="G45" s="91">
        <v>1</v>
      </c>
      <c r="H45" s="91"/>
      <c r="I45" s="91"/>
      <c r="J45" s="91"/>
      <c r="K45" s="91"/>
      <c r="L45" s="91"/>
      <c r="M45" s="91"/>
      <c r="N45" s="91"/>
      <c r="O45" s="91"/>
      <c r="P45" s="91"/>
      <c r="Q45" s="91"/>
      <c r="R45" s="91"/>
      <c r="S45" s="91"/>
      <c r="T45" s="91"/>
      <c r="U45" s="91"/>
      <c r="V45" s="91"/>
      <c r="W45" s="91"/>
      <c r="X45" s="91"/>
      <c r="Y45" s="91">
        <v>1</v>
      </c>
      <c r="Z45" s="91"/>
      <c r="AA45" s="91"/>
      <c r="AB45" s="91"/>
      <c r="AC45" s="91"/>
      <c r="AD45" s="91"/>
      <c r="AE45" s="91"/>
      <c r="AF45" s="91"/>
      <c r="AG45" s="91"/>
      <c r="AH45" s="91"/>
      <c r="AI45" s="91"/>
      <c r="AJ45" s="91"/>
      <c r="AK45" s="91"/>
      <c r="AL45" s="91"/>
      <c r="AM45" s="91"/>
      <c r="AN45" s="91"/>
      <c r="AO45" s="91"/>
      <c r="AP45" s="91"/>
      <c r="AQ45" s="91">
        <v>1</v>
      </c>
      <c r="AR45" s="91"/>
      <c r="AS45" s="91"/>
      <c r="AT45" s="91"/>
      <c r="AU45" s="91"/>
      <c r="AV45" s="91"/>
      <c r="AW45" s="91"/>
      <c r="AX45" s="91"/>
      <c r="AY45" s="91"/>
      <c r="AZ45" s="91"/>
      <c r="BA45" s="91"/>
      <c r="BB45" s="91"/>
      <c r="BC45" s="91"/>
      <c r="BD45" s="91"/>
      <c r="BE45" s="91"/>
      <c r="BF45" s="91"/>
      <c r="BG45" s="91"/>
      <c r="BH45" s="91"/>
      <c r="BI45" s="91">
        <v>1</v>
      </c>
      <c r="BJ45" s="91"/>
      <c r="BK45" s="91"/>
      <c r="BL45" s="91"/>
      <c r="BM45" s="91"/>
      <c r="BN45" s="91"/>
      <c r="BO45" s="91"/>
      <c r="BP45" s="91"/>
      <c r="BQ45" s="91"/>
      <c r="BR45" s="91"/>
      <c r="BS45" s="91"/>
      <c r="BT45" s="91"/>
      <c r="BU45" s="91"/>
      <c r="BV45" s="91"/>
      <c r="BW45" s="91"/>
      <c r="BX45" s="91"/>
      <c r="BY45" s="91"/>
      <c r="BZ45" s="91"/>
      <c r="CA45" s="91">
        <v>1</v>
      </c>
      <c r="CB45" s="91"/>
      <c r="CC45" s="91"/>
      <c r="CD45" s="91"/>
      <c r="CE45" s="91"/>
      <c r="CF45" s="91"/>
      <c r="CG45" s="91"/>
      <c r="CH45" s="91"/>
      <c r="CI45" s="91"/>
      <c r="CJ45" s="91"/>
      <c r="CK45" s="91"/>
      <c r="CL45" s="91"/>
      <c r="CM45" s="91"/>
      <c r="CN45" s="91"/>
      <c r="CO45" s="91"/>
      <c r="CP45" s="91"/>
      <c r="CQ45" s="91"/>
      <c r="CR45" s="91"/>
      <c r="CS45" s="91">
        <v>1</v>
      </c>
      <c r="CT45" s="91"/>
      <c r="CU45" s="91"/>
      <c r="CV45" s="91"/>
      <c r="CW45" s="91"/>
      <c r="CX45" s="91"/>
      <c r="CY45" s="91"/>
      <c r="CZ45" s="91"/>
      <c r="DA45" s="91"/>
      <c r="DB45" s="91"/>
      <c r="DC45" s="91"/>
      <c r="DD45" s="91"/>
      <c r="DE45" s="91"/>
      <c r="DF45" s="91"/>
      <c r="DG45" s="91"/>
      <c r="DH45" s="91"/>
      <c r="DI45" s="91"/>
      <c r="DJ45" s="91"/>
      <c r="DK45" s="91">
        <v>1</v>
      </c>
      <c r="DL45" s="91"/>
      <c r="DM45" s="91"/>
      <c r="DN45" s="91"/>
      <c r="DO45" s="91"/>
      <c r="DP45" s="91"/>
      <c r="DQ45" s="91"/>
      <c r="DR45" s="91"/>
      <c r="DS45" s="91"/>
      <c r="DT45" s="91"/>
      <c r="DU45" s="91"/>
      <c r="DV45" s="91"/>
      <c r="DW45" s="119">
        <f>SUMPRODUCT(DW46:DW47,F46:F47)/F45</f>
        <v>0</v>
      </c>
      <c r="DX45" s="112"/>
      <c r="DY45" s="119">
        <f t="shared" ref="DY45" si="38">SUM(DW45:DX45)</f>
        <v>0</v>
      </c>
      <c r="DZ45" s="91">
        <f>DW45*F45</f>
        <v>0</v>
      </c>
      <c r="EA45" s="91">
        <f>DX45*F45</f>
        <v>0</v>
      </c>
      <c r="EB45" s="91">
        <f>DY45*F45</f>
        <v>0</v>
      </c>
    </row>
    <row r="46" spans="1:132" s="32" customFormat="1" outlineLevel="2" x14ac:dyDescent="0.25">
      <c r="A46" s="63"/>
      <c r="B46" s="63"/>
      <c r="C46" s="100" t="s">
        <v>114</v>
      </c>
      <c r="D46" s="65" t="s">
        <v>106</v>
      </c>
      <c r="E46" s="112"/>
      <c r="F46" s="91">
        <f>$F$45*E46</f>
        <v>0</v>
      </c>
      <c r="G46" s="91"/>
      <c r="H46" s="91"/>
      <c r="I46" s="91"/>
      <c r="J46" s="91"/>
      <c r="K46" s="91"/>
      <c r="L46" s="91"/>
      <c r="M46" s="91"/>
      <c r="N46" s="91"/>
      <c r="O46" s="91"/>
      <c r="P46" s="91"/>
      <c r="Q46" s="91"/>
      <c r="R46" s="91"/>
      <c r="S46" s="91"/>
      <c r="T46" s="91"/>
      <c r="U46" s="91"/>
      <c r="V46" s="91"/>
      <c r="W46" s="91"/>
      <c r="X46" s="91"/>
      <c r="Y46" s="92"/>
      <c r="Z46" s="92"/>
      <c r="AA46" s="92"/>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112"/>
      <c r="DX46" s="119"/>
      <c r="DY46" s="119"/>
      <c r="DZ46" s="91"/>
      <c r="EA46" s="91"/>
      <c r="EB46" s="91"/>
    </row>
    <row r="47" spans="1:132" s="32" customFormat="1" outlineLevel="2" x14ac:dyDescent="0.25">
      <c r="A47" s="63"/>
      <c r="B47" s="63"/>
      <c r="C47" s="100" t="s">
        <v>113</v>
      </c>
      <c r="D47" s="65" t="s">
        <v>105</v>
      </c>
      <c r="E47" s="112"/>
      <c r="F47" s="91">
        <f>$F$45*E47</f>
        <v>0</v>
      </c>
      <c r="G47" s="91"/>
      <c r="H47" s="91"/>
      <c r="I47" s="91"/>
      <c r="J47" s="91"/>
      <c r="K47" s="91"/>
      <c r="L47" s="91"/>
      <c r="M47" s="91"/>
      <c r="N47" s="91"/>
      <c r="O47" s="91"/>
      <c r="P47" s="91"/>
      <c r="Q47" s="91"/>
      <c r="R47" s="91"/>
      <c r="S47" s="91"/>
      <c r="T47" s="91"/>
      <c r="U47" s="91"/>
      <c r="V47" s="91"/>
      <c r="W47" s="91"/>
      <c r="X47" s="91"/>
      <c r="Y47" s="92"/>
      <c r="Z47" s="92"/>
      <c r="AA47" s="92"/>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112"/>
      <c r="DX47" s="119"/>
      <c r="DY47" s="119"/>
      <c r="DZ47" s="91"/>
      <c r="EA47" s="91"/>
      <c r="EB47" s="91"/>
    </row>
    <row r="48" spans="1:132" s="30" customFormat="1" ht="18.75" customHeight="1" x14ac:dyDescent="0.25">
      <c r="A48" s="72" t="s">
        <v>131</v>
      </c>
      <c r="B48" s="73"/>
      <c r="C48" s="74" t="s">
        <v>133</v>
      </c>
      <c r="D48" s="7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22"/>
      <c r="DX48" s="122"/>
      <c r="DY48" s="122"/>
      <c r="DZ48" s="114">
        <f>DZ49</f>
        <v>0</v>
      </c>
      <c r="EA48" s="114">
        <f>EA49</f>
        <v>0</v>
      </c>
      <c r="EB48" s="114">
        <f>EB49</f>
        <v>0</v>
      </c>
    </row>
    <row r="49" spans="1:134" s="29" customFormat="1" ht="18.75" customHeight="1" x14ac:dyDescent="0.25">
      <c r="A49" s="66" t="s">
        <v>132</v>
      </c>
      <c r="B49" s="66" t="s">
        <v>150</v>
      </c>
      <c r="C49" s="67" t="s">
        <v>134</v>
      </c>
      <c r="D49" s="68"/>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18"/>
      <c r="DX49" s="118"/>
      <c r="DY49" s="118"/>
      <c r="DZ49" s="121">
        <f>SUM(DZ50:DZ65)</f>
        <v>0</v>
      </c>
      <c r="EA49" s="121">
        <f t="shared" ref="EA49:EB49" si="39">SUM(EA50:EA65)</f>
        <v>0</v>
      </c>
      <c r="EB49" s="121">
        <f t="shared" si="39"/>
        <v>0</v>
      </c>
    </row>
    <row r="50" spans="1:134" s="31" customFormat="1" ht="31.9" customHeight="1" x14ac:dyDescent="0.25">
      <c r="A50" s="69"/>
      <c r="B50" s="69" t="s">
        <v>151</v>
      </c>
      <c r="C50" s="70" t="s">
        <v>101</v>
      </c>
      <c r="D50" s="71" t="s">
        <v>19</v>
      </c>
      <c r="E50" s="94"/>
      <c r="F50" s="94">
        <f>F51</f>
        <v>11998.32</v>
      </c>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120"/>
      <c r="DX50" s="120"/>
      <c r="DY50" s="120"/>
      <c r="DZ50" s="120"/>
      <c r="EA50" s="120"/>
      <c r="EB50" s="120"/>
      <c r="ED50" s="77"/>
    </row>
    <row r="51" spans="1:134" s="32" customFormat="1" outlineLevel="2" x14ac:dyDescent="0.25">
      <c r="A51" s="63"/>
      <c r="B51" s="63" t="s">
        <v>152</v>
      </c>
      <c r="C51" s="64" t="s">
        <v>121</v>
      </c>
      <c r="D51" s="65" t="s">
        <v>19</v>
      </c>
      <c r="E51" s="91"/>
      <c r="F51" s="91">
        <f>G51+Y51+AQ51+BI51+CA51+CS51+DK51</f>
        <v>11998.32</v>
      </c>
      <c r="G51" s="91">
        <f>SUM(J51:X51)</f>
        <v>1545.85</v>
      </c>
      <c r="H51" s="91"/>
      <c r="I51" s="91"/>
      <c r="J51" s="91">
        <f>24790/1000*2.95-(1.05*2.1*6+1.25*2.35*2)</f>
        <v>54.03</v>
      </c>
      <c r="K51" s="91">
        <f>24790/1000*2.95-(1.05*2.1*6+1.25*2.1*2)</f>
        <v>54.65</v>
      </c>
      <c r="L51" s="91">
        <f>47360/1000*2.95-(1.05*2.1*10+1.25*2.1*2)</f>
        <v>112.41</v>
      </c>
      <c r="M51" s="91">
        <f>47360/1000*2.95-(1.05*2.1*10+1.25*2.1*2)</f>
        <v>112.41</v>
      </c>
      <c r="N51" s="91">
        <f>47360/1000*2.95-(1.05*2.1*10+1.25*2.1*2)</f>
        <v>112.41</v>
      </c>
      <c r="O51" s="91">
        <f>47360/1000*2.95-(1.05*2.1*10+1.25*2.1*2)</f>
        <v>112.41</v>
      </c>
      <c r="P51" s="91">
        <f>47360/1000*2.95-(1.05*2.1*10+1.25*2.1*2)</f>
        <v>112.41</v>
      </c>
      <c r="Q51" s="91">
        <f>44840/1000*2.95-(1.05*2.1*8+1.25*2.1*2)</f>
        <v>109.39</v>
      </c>
      <c r="R51" s="91">
        <f t="shared" ref="R51:X51" si="40">44840/1000*2.95-(1.05*2.1*8+1.25*2.1*2)</f>
        <v>109.39</v>
      </c>
      <c r="S51" s="91">
        <f t="shared" si="40"/>
        <v>109.39</v>
      </c>
      <c r="T51" s="91">
        <f t="shared" si="40"/>
        <v>109.39</v>
      </c>
      <c r="U51" s="91">
        <f t="shared" si="40"/>
        <v>109.39</v>
      </c>
      <c r="V51" s="91">
        <f t="shared" si="40"/>
        <v>109.39</v>
      </c>
      <c r="W51" s="91">
        <f t="shared" si="40"/>
        <v>109.39</v>
      </c>
      <c r="X51" s="91">
        <f t="shared" si="40"/>
        <v>109.39</v>
      </c>
      <c r="Y51" s="92">
        <f>SUM(AB51:AP51)</f>
        <v>2338.35</v>
      </c>
      <c r="Z51" s="92"/>
      <c r="AA51" s="92"/>
      <c r="AB51" s="92">
        <f t="shared" ref="AB51:AC51" si="41">70200/1000*2.95-(1.05*2.35*12+1.25*2.35*2)</f>
        <v>171.61</v>
      </c>
      <c r="AC51" s="92">
        <f t="shared" si="41"/>
        <v>171.61</v>
      </c>
      <c r="AD51" s="92">
        <f>65090/1000*2.95-(1.05*2.35*12+1.25*2.35*2)</f>
        <v>156.53</v>
      </c>
      <c r="AE51" s="92">
        <f>65090/1000*2.95-(1.05*2.35*12+1.25*2.35*2)</f>
        <v>156.53</v>
      </c>
      <c r="AF51" s="92">
        <f>65090/1000*2.95-(1.05*2.35*12+1.25*2.35*2)</f>
        <v>156.53</v>
      </c>
      <c r="AG51" s="92">
        <f>65090/1000*2.95-(1.05*2.35*12+1.25*2.35*2)</f>
        <v>156.53</v>
      </c>
      <c r="AH51" s="92">
        <f>65090/1000*2.95-(1.05*2.35*12+1.25*2.35*2)</f>
        <v>156.53</v>
      </c>
      <c r="AI51" s="92">
        <f>60060/1000*2.95-(1.05*2.35*8+1.25*2.35*2)</f>
        <v>151.56</v>
      </c>
      <c r="AJ51" s="92">
        <f t="shared" ref="AJ51:AP51" si="42">60060/1000*2.95-(1.05*2.35*8+1.25*2.35*2)</f>
        <v>151.56</v>
      </c>
      <c r="AK51" s="92">
        <f t="shared" si="42"/>
        <v>151.56</v>
      </c>
      <c r="AL51" s="92">
        <f t="shared" si="42"/>
        <v>151.56</v>
      </c>
      <c r="AM51" s="92">
        <f t="shared" si="42"/>
        <v>151.56</v>
      </c>
      <c r="AN51" s="92">
        <f>60060/1000*2.95-(1.05*2.35*8+1.25*2.35*2)</f>
        <v>151.56</v>
      </c>
      <c r="AO51" s="92">
        <f t="shared" si="42"/>
        <v>151.56</v>
      </c>
      <c r="AP51" s="92">
        <f t="shared" si="42"/>
        <v>151.56</v>
      </c>
      <c r="AQ51" s="91">
        <f>SUM(AT51:BH51)</f>
        <v>2336.31</v>
      </c>
      <c r="AR51" s="91"/>
      <c r="AS51" s="91"/>
      <c r="AT51" s="91">
        <f t="shared" ref="AT51:AU51" si="43">70050/1000*2.95-(1.05*2.35*13+1.25*2.35*2)</f>
        <v>168.7</v>
      </c>
      <c r="AU51" s="91">
        <f t="shared" si="43"/>
        <v>168.7</v>
      </c>
      <c r="AV51" s="91">
        <f>64420/1000*2.95-(1.05*2.35*12+1.25*2.35*2)</f>
        <v>154.55000000000001</v>
      </c>
      <c r="AW51" s="91">
        <f>64420/1000*2.95-(1.05*2.35*12+1.25*2.35*2)</f>
        <v>154.55000000000001</v>
      </c>
      <c r="AX51" s="91">
        <f>64420/1000*2.95-(1.05*2.35*12+1.25*2.35*2)</f>
        <v>154.55000000000001</v>
      </c>
      <c r="AY51" s="91">
        <f>64420/1000*2.95-(1.05*2.35*12+1.25*2.35*2)</f>
        <v>154.55000000000001</v>
      </c>
      <c r="AZ51" s="91">
        <f>64420/1000*2.95-(1.05*2.35*12+1.25*2.35*2)</f>
        <v>154.55000000000001</v>
      </c>
      <c r="BA51" s="91">
        <f>60640/1000*2.95-(1.05*2.35*8+1.25*2.35*2)</f>
        <v>153.27000000000001</v>
      </c>
      <c r="BB51" s="91">
        <f t="shared" ref="BB51:BH51" si="44">60640/1000*2.95-(1.05*2.35*8+1.25*2.35*2)</f>
        <v>153.27000000000001</v>
      </c>
      <c r="BC51" s="91">
        <f t="shared" si="44"/>
        <v>153.27000000000001</v>
      </c>
      <c r="BD51" s="91">
        <f t="shared" si="44"/>
        <v>153.27000000000001</v>
      </c>
      <c r="BE51" s="91">
        <f t="shared" si="44"/>
        <v>153.27000000000001</v>
      </c>
      <c r="BF51" s="91">
        <f t="shared" si="44"/>
        <v>153.27000000000001</v>
      </c>
      <c r="BG51" s="91">
        <f t="shared" si="44"/>
        <v>153.27000000000001</v>
      </c>
      <c r="BH51" s="91">
        <f t="shared" si="44"/>
        <v>153.27000000000001</v>
      </c>
      <c r="BI51" s="91">
        <f>SUM(BL51:BZ51)</f>
        <v>1309.04</v>
      </c>
      <c r="BJ51" s="91"/>
      <c r="BK51" s="91"/>
      <c r="BL51" s="91">
        <f t="shared" ref="BL51:BM51" si="45">77640/1000*2.95-(1.05*2.35*15+1.25*2.1*2)</f>
        <v>186.78</v>
      </c>
      <c r="BM51" s="91">
        <f t="shared" si="45"/>
        <v>186.78</v>
      </c>
      <c r="BN51" s="91">
        <f>32240/1000*2.95-(1.05*2.35*7+1.25*2.35*2)</f>
        <v>71.959999999999994</v>
      </c>
      <c r="BO51" s="91">
        <f t="shared" ref="BO51:BZ51" si="46">32240/1000*2.95-(1.05*2.35*7+1.25*2.35*2)</f>
        <v>71.959999999999994</v>
      </c>
      <c r="BP51" s="91">
        <f t="shared" si="46"/>
        <v>71.959999999999994</v>
      </c>
      <c r="BQ51" s="91">
        <f t="shared" si="46"/>
        <v>71.959999999999994</v>
      </c>
      <c r="BR51" s="91">
        <f t="shared" si="46"/>
        <v>71.959999999999994</v>
      </c>
      <c r="BS51" s="91">
        <f t="shared" si="46"/>
        <v>71.959999999999994</v>
      </c>
      <c r="BT51" s="91">
        <f t="shared" si="46"/>
        <v>71.959999999999994</v>
      </c>
      <c r="BU51" s="91">
        <f t="shared" si="46"/>
        <v>71.959999999999994</v>
      </c>
      <c r="BV51" s="91">
        <f t="shared" si="46"/>
        <v>71.959999999999994</v>
      </c>
      <c r="BW51" s="91">
        <f>32240/1000*2.95-(1.05*2.35*7+1.25*2.35*2)</f>
        <v>71.959999999999994</v>
      </c>
      <c r="BX51" s="91">
        <f t="shared" si="46"/>
        <v>71.959999999999994</v>
      </c>
      <c r="BY51" s="91">
        <f t="shared" si="46"/>
        <v>71.959999999999994</v>
      </c>
      <c r="BZ51" s="91">
        <f t="shared" si="46"/>
        <v>71.959999999999994</v>
      </c>
      <c r="CA51" s="91">
        <f>SUM(CD51:CR51)</f>
        <v>1410.64</v>
      </c>
      <c r="CB51" s="91"/>
      <c r="CC51" s="91"/>
      <c r="CD51" s="91">
        <f t="shared" ref="CD51:CE51" si="47">78680/1000*2.95-(1.05*2.35*14+1.25*2.35*2)</f>
        <v>191.69</v>
      </c>
      <c r="CE51" s="91">
        <f t="shared" si="47"/>
        <v>191.69</v>
      </c>
      <c r="CF51" s="91">
        <f>34420/1000*2.95-(1.05*2.35*7+1.25*2.1*2)</f>
        <v>79.02</v>
      </c>
      <c r="CG51" s="91">
        <f t="shared" ref="CG51:CR51" si="48">34420/1000*2.95-(1.05*2.35*7+1.25*2.1*2)</f>
        <v>79.02</v>
      </c>
      <c r="CH51" s="91">
        <f t="shared" si="48"/>
        <v>79.02</v>
      </c>
      <c r="CI51" s="91">
        <f t="shared" si="48"/>
        <v>79.02</v>
      </c>
      <c r="CJ51" s="91">
        <f t="shared" si="48"/>
        <v>79.02</v>
      </c>
      <c r="CK51" s="91">
        <f t="shared" si="48"/>
        <v>79.02</v>
      </c>
      <c r="CL51" s="91">
        <f t="shared" si="48"/>
        <v>79.02</v>
      </c>
      <c r="CM51" s="91">
        <f t="shared" si="48"/>
        <v>79.02</v>
      </c>
      <c r="CN51" s="91">
        <f t="shared" si="48"/>
        <v>79.02</v>
      </c>
      <c r="CO51" s="91">
        <f>34420/1000*2.95-(1.05*2.35*7+1.25*2.1*2)</f>
        <v>79.02</v>
      </c>
      <c r="CP51" s="91">
        <f t="shared" si="48"/>
        <v>79.02</v>
      </c>
      <c r="CQ51" s="91">
        <f t="shared" si="48"/>
        <v>79.02</v>
      </c>
      <c r="CR51" s="91">
        <f t="shared" si="48"/>
        <v>79.02</v>
      </c>
      <c r="CS51" s="91">
        <f>SUM(CV51:DJ51)</f>
        <v>1714.93</v>
      </c>
      <c r="CT51" s="91"/>
      <c r="CU51" s="91"/>
      <c r="CV51" s="91">
        <f t="shared" ref="CV51:CW51" si="49">49409.85/1000*2.95-(1.05*2.35*10+1.25*2.35*2)</f>
        <v>115.21</v>
      </c>
      <c r="CW51" s="91">
        <f t="shared" si="49"/>
        <v>115.21</v>
      </c>
      <c r="CX51" s="91">
        <f>45730/1000*2.95-(1.05*2.35*8+1.25*2.35*2)</f>
        <v>109.29</v>
      </c>
      <c r="CY51" s="91">
        <f t="shared" ref="CY51:DD51" si="50">45730/1000*2.95-(1.05*2.35*8+1.25*2.35*2)</f>
        <v>109.29</v>
      </c>
      <c r="CZ51" s="91">
        <f t="shared" si="50"/>
        <v>109.29</v>
      </c>
      <c r="DA51" s="91">
        <f t="shared" si="50"/>
        <v>109.29</v>
      </c>
      <c r="DB51" s="91">
        <f t="shared" si="50"/>
        <v>109.29</v>
      </c>
      <c r="DC51" s="91">
        <f t="shared" si="50"/>
        <v>109.29</v>
      </c>
      <c r="DD51" s="91">
        <f t="shared" si="50"/>
        <v>109.29</v>
      </c>
      <c r="DE51" s="91">
        <f>95080/1000*2.95-(1.05*2.35*11+1.25*2.35*4)</f>
        <v>241.59</v>
      </c>
      <c r="DF51" s="91">
        <f>68370/1000*2.95-(1.05*2.35*9+1.25*2.35*3)</f>
        <v>170.67</v>
      </c>
      <c r="DG51" s="91">
        <f>52650/1000*2.95-(1.05*2.35*8+1.25*2.35*2)</f>
        <v>129.69999999999999</v>
      </c>
      <c r="DH51" s="91">
        <f>36390/1000*2.95-(1.05*2.35*6+1.25*2.35*2)</f>
        <v>86.67</v>
      </c>
      <c r="DI51" s="91">
        <f>29950/1000*2.95-(1.05*2.35*5+1.25*2.35*2)</f>
        <v>70.14</v>
      </c>
      <c r="DJ51" s="91">
        <f>9690/1000*2.95-(1.05*2.35*2+1.25*2.35*1)</f>
        <v>20.71</v>
      </c>
      <c r="DK51" s="91">
        <f>SUM(DN51:DV51)</f>
        <v>1343.2</v>
      </c>
      <c r="DL51" s="91"/>
      <c r="DM51" s="91"/>
      <c r="DN51" s="91">
        <f t="shared" ref="DN51:DO51" si="51">73580/1000*2.95-(1.05*2.35*15+1.25*2.35*2)</f>
        <v>174.17</v>
      </c>
      <c r="DO51" s="91">
        <f t="shared" si="51"/>
        <v>174.17</v>
      </c>
      <c r="DP51" s="91">
        <f>72320/1000*2.95-(1.05*2.35*14+1.25*2.35*2)</f>
        <v>172.92</v>
      </c>
      <c r="DQ51" s="91">
        <f>72320/1000*2.95-(1.05*2.35*14+1.25*2.35*2)</f>
        <v>172.92</v>
      </c>
      <c r="DR51" s="91">
        <f>72320/1000*2.95-(1.05*2.35*14+1.25*2.35*2)</f>
        <v>172.92</v>
      </c>
      <c r="DS51" s="91">
        <f>71860/1000*2.95-(1.05*2.35*12+1.25*2.35*2)</f>
        <v>176.5</v>
      </c>
      <c r="DT51" s="91">
        <f>57080/1000*2.95-(1.05*2.35*10+1.25*2.35*2)</f>
        <v>137.84</v>
      </c>
      <c r="DU51" s="91">
        <f>41100/1000*2.95-(1.05*2.35*8+1.25*2.35*2)</f>
        <v>95.63</v>
      </c>
      <c r="DV51" s="91">
        <f>26760/1000*2.95-(1.05*2.35*4+1.25*2.35*1)</f>
        <v>66.13</v>
      </c>
      <c r="DW51" s="119">
        <f>SUMPRODUCT(DW52:DW53,F52:F53)/F51</f>
        <v>0</v>
      </c>
      <c r="DX51" s="112"/>
      <c r="DY51" s="119">
        <f t="shared" ref="DY51" si="52">SUM(DW51:DX51)</f>
        <v>0</v>
      </c>
      <c r="DZ51" s="91">
        <f>DW51*F51</f>
        <v>0</v>
      </c>
      <c r="EA51" s="91">
        <f>DX51*F51</f>
        <v>0</v>
      </c>
      <c r="EB51" s="91">
        <f>DY51*F51</f>
        <v>0</v>
      </c>
    </row>
    <row r="52" spans="1:134" s="32" customFormat="1" outlineLevel="2" x14ac:dyDescent="0.25">
      <c r="A52" s="63"/>
      <c r="B52" s="63"/>
      <c r="C52" s="100" t="s">
        <v>114</v>
      </c>
      <c r="D52" s="65" t="s">
        <v>106</v>
      </c>
      <c r="E52" s="112"/>
      <c r="F52" s="91">
        <f>$F$51*E52</f>
        <v>0</v>
      </c>
      <c r="G52" s="91"/>
      <c r="H52" s="91"/>
      <c r="I52" s="91"/>
      <c r="J52" s="91"/>
      <c r="K52" s="91"/>
      <c r="L52" s="91"/>
      <c r="M52" s="91"/>
      <c r="N52" s="91"/>
      <c r="O52" s="91"/>
      <c r="P52" s="91"/>
      <c r="Q52" s="91"/>
      <c r="R52" s="91"/>
      <c r="S52" s="91"/>
      <c r="T52" s="91"/>
      <c r="U52" s="91"/>
      <c r="V52" s="91"/>
      <c r="W52" s="91"/>
      <c r="X52" s="91"/>
      <c r="Y52" s="92"/>
      <c r="Z52" s="92"/>
      <c r="AA52" s="92"/>
      <c r="AB52" s="92"/>
      <c r="AC52" s="92"/>
      <c r="AD52" s="92"/>
      <c r="AE52" s="92"/>
      <c r="AF52" s="92"/>
      <c r="AG52" s="92"/>
      <c r="AH52" s="92"/>
      <c r="AI52" s="92"/>
      <c r="AJ52" s="92"/>
      <c r="AK52" s="92"/>
      <c r="AL52" s="92"/>
      <c r="AM52" s="92"/>
      <c r="AN52" s="92"/>
      <c r="AO52" s="92"/>
      <c r="AP52" s="92"/>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112"/>
      <c r="DX52" s="119"/>
      <c r="DY52" s="119"/>
      <c r="DZ52" s="91"/>
      <c r="EA52" s="91"/>
      <c r="EB52" s="91"/>
    </row>
    <row r="53" spans="1:134" s="32" customFormat="1" outlineLevel="2" x14ac:dyDescent="0.25">
      <c r="A53" s="63"/>
      <c r="B53" s="63"/>
      <c r="C53" s="100" t="s">
        <v>120</v>
      </c>
      <c r="D53" s="65" t="s">
        <v>105</v>
      </c>
      <c r="E53" s="112"/>
      <c r="F53" s="91">
        <f>$F$51*E53</f>
        <v>0</v>
      </c>
      <c r="G53" s="91"/>
      <c r="H53" s="91"/>
      <c r="I53" s="91"/>
      <c r="J53" s="91"/>
      <c r="K53" s="91"/>
      <c r="L53" s="91"/>
      <c r="M53" s="91"/>
      <c r="N53" s="91"/>
      <c r="O53" s="91"/>
      <c r="P53" s="91"/>
      <c r="Q53" s="91"/>
      <c r="R53" s="91"/>
      <c r="S53" s="91"/>
      <c r="T53" s="91"/>
      <c r="U53" s="91"/>
      <c r="V53" s="91"/>
      <c r="W53" s="91"/>
      <c r="X53" s="91"/>
      <c r="Y53" s="92"/>
      <c r="Z53" s="92"/>
      <c r="AA53" s="92"/>
      <c r="AB53" s="92"/>
      <c r="AC53" s="92"/>
      <c r="AD53" s="92"/>
      <c r="AE53" s="92"/>
      <c r="AF53" s="92"/>
      <c r="AG53" s="92"/>
      <c r="AH53" s="92"/>
      <c r="AI53" s="92"/>
      <c r="AJ53" s="92"/>
      <c r="AK53" s="92"/>
      <c r="AL53" s="92"/>
      <c r="AM53" s="92"/>
      <c r="AN53" s="92"/>
      <c r="AO53" s="92"/>
      <c r="AP53" s="92"/>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112"/>
      <c r="DX53" s="119"/>
      <c r="DY53" s="119"/>
      <c r="DZ53" s="91"/>
      <c r="EA53" s="91"/>
      <c r="EB53" s="91"/>
    </row>
    <row r="54" spans="1:134" s="31" customFormat="1" ht="18.75" customHeight="1" x14ac:dyDescent="0.25">
      <c r="A54" s="69"/>
      <c r="B54" s="69" t="s">
        <v>153</v>
      </c>
      <c r="C54" s="95" t="s">
        <v>104</v>
      </c>
      <c r="D54" s="71" t="s">
        <v>19</v>
      </c>
      <c r="E54" s="94"/>
      <c r="F54" s="94">
        <f>F55</f>
        <v>106754.96</v>
      </c>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115"/>
      <c r="DX54" s="115"/>
      <c r="DY54" s="115"/>
      <c r="DZ54" s="115"/>
      <c r="EA54" s="115"/>
      <c r="EB54" s="115"/>
      <c r="ED54" s="77"/>
    </row>
    <row r="55" spans="1:134" s="32" customFormat="1" outlineLevel="1" x14ac:dyDescent="0.25">
      <c r="A55" s="63"/>
      <c r="B55" s="63" t="s">
        <v>154</v>
      </c>
      <c r="C55" s="64" t="s">
        <v>121</v>
      </c>
      <c r="D55" s="65" t="s">
        <v>19</v>
      </c>
      <c r="E55" s="91"/>
      <c r="F55" s="91">
        <f>G55+Y55+AQ55+BI55+CA55+CS55+DK55</f>
        <v>106754.96</v>
      </c>
      <c r="G55" s="91">
        <f>SUM(J55:X55)</f>
        <v>17080.84</v>
      </c>
      <c r="H55" s="91"/>
      <c r="I55" s="91"/>
      <c r="J55" s="91">
        <f>333440.5/1000*2.95-(0.7*2.1*11+0.8*2.1*18+1.05*2.1*5+1.19*2.7*18+2.88*2.7*5+1.17*2.7*4+1.43*2.7*7)</f>
        <v>789.84</v>
      </c>
      <c r="K55" s="91">
        <f>333440.5/1000*2.95-(0.7*2.1*11+0.8*2.1*18+1.05*2.1*5+1.19*2.7*18+2.88*2.7*5+1.17*2.7*4+1.43*2.7*7)</f>
        <v>789.84</v>
      </c>
      <c r="L55" s="91">
        <f>476886/1000*2.95-(1.05*2.1*10+0.7*2.1*17+0.8*2.1*22+1.19*2.7*25+2.88*2.7*5+1.17*2.7*4+1.43*2.7*10)</f>
        <v>1152.3599999999999</v>
      </c>
      <c r="M55" s="91">
        <f t="shared" ref="M55:P55" si="53">476886/1000*2.95-(1.05*2.1*10+0.7*2.1*17+0.8*2.1*22+1.19*2.7*25+2.88*2.7*5+1.17*2.7*4+1.43*2.7*10)</f>
        <v>1152.3599999999999</v>
      </c>
      <c r="N55" s="91">
        <f t="shared" si="53"/>
        <v>1152.3599999999999</v>
      </c>
      <c r="O55" s="91">
        <f t="shared" si="53"/>
        <v>1152.3599999999999</v>
      </c>
      <c r="P55" s="91">
        <f t="shared" si="53"/>
        <v>1152.3599999999999</v>
      </c>
      <c r="Q55" s="91">
        <f>490669.7896/1000*2.95-(0.7*2.1*12+0.8*2.1*22+1.05*2.1*8+157.82)</f>
        <v>1217.42</v>
      </c>
      <c r="R55" s="91">
        <f t="shared" ref="R55:X55" si="54">490669.7896/1000*2.95-(0.7*2.1*12+0.8*2.1*22+1.05*2.1*8+157.82)</f>
        <v>1217.42</v>
      </c>
      <c r="S55" s="91">
        <f t="shared" si="54"/>
        <v>1217.42</v>
      </c>
      <c r="T55" s="91">
        <f t="shared" si="54"/>
        <v>1217.42</v>
      </c>
      <c r="U55" s="91">
        <f t="shared" si="54"/>
        <v>1217.42</v>
      </c>
      <c r="V55" s="91">
        <f t="shared" si="54"/>
        <v>1217.42</v>
      </c>
      <c r="W55" s="91">
        <f t="shared" si="54"/>
        <v>1217.42</v>
      </c>
      <c r="X55" s="91">
        <f t="shared" si="54"/>
        <v>1217.42</v>
      </c>
      <c r="Y55" s="92">
        <f>SUM(AB55:AP55)</f>
        <v>17995.57</v>
      </c>
      <c r="Z55" s="92"/>
      <c r="AA55" s="92"/>
      <c r="AB55" s="91">
        <f>436540.5/1000*2.95-(0.7*2.1*14+0.8*2.1*16+0.9*2.1*2+1.05*2.1*12+1.17*2.7*23+1.43*2.7*11)</f>
        <v>1094.97</v>
      </c>
      <c r="AC55" s="91">
        <f>436540.5/1000*2.95-(0.7*2.1*14+0.8*2.1*16+0.9*2.1*2+1.05*2.1*12+1.17*2.7*23+1.43*2.7*11)</f>
        <v>1094.97</v>
      </c>
      <c r="AD55" s="91">
        <f>460652/1000*2.95-(0.7*2.1*15+0.8*2.1*18+0.9*2.1*2+1.05*2.1*12+1.19*2.7*24+1.43*2.7*12)</f>
        <v>1152.95</v>
      </c>
      <c r="AE55" s="91">
        <f t="shared" ref="AE55:AH55" si="55">460652/1000*2.95-(0.7*2.1*15+0.8*2.1*18+0.9*2.1*2+1.05*2.1*12+1.19*2.7*24+1.43*2.7*12)</f>
        <v>1152.95</v>
      </c>
      <c r="AF55" s="91">
        <f t="shared" si="55"/>
        <v>1152.95</v>
      </c>
      <c r="AG55" s="91">
        <f t="shared" si="55"/>
        <v>1152.95</v>
      </c>
      <c r="AH55" s="91">
        <f t="shared" si="55"/>
        <v>1152.95</v>
      </c>
      <c r="AI55" s="91">
        <f>496447.1/1000*2.95-(123.39+0.7*2.1*15+0.8*2.05*26+0.9*2.05*2+1.05*2.1*8)</f>
        <v>1255.1099999999999</v>
      </c>
      <c r="AJ55" s="91">
        <f t="shared" ref="AJ55:AP55" si="56">496447.1/1000*2.95-(123.39+0.7*2.1*15+0.8*2.05*26+0.9*2.05*2+1.05*2.1*8)</f>
        <v>1255.1099999999999</v>
      </c>
      <c r="AK55" s="91">
        <f t="shared" si="56"/>
        <v>1255.1099999999999</v>
      </c>
      <c r="AL55" s="91">
        <f t="shared" si="56"/>
        <v>1255.1099999999999</v>
      </c>
      <c r="AM55" s="91">
        <f t="shared" si="56"/>
        <v>1255.1099999999999</v>
      </c>
      <c r="AN55" s="91">
        <f t="shared" si="56"/>
        <v>1255.1099999999999</v>
      </c>
      <c r="AO55" s="91">
        <f t="shared" si="56"/>
        <v>1255.1099999999999</v>
      </c>
      <c r="AP55" s="91">
        <f t="shared" si="56"/>
        <v>1255.1099999999999</v>
      </c>
      <c r="AQ55" s="91">
        <f>SUM(AT55:BH55)</f>
        <v>18653.599999999999</v>
      </c>
      <c r="AR55" s="91"/>
      <c r="AS55" s="91"/>
      <c r="AT55" s="91">
        <f>492697.1/1000*2.95-(0.7*2.1*15+0.8*2.1*18+0.9*2.1*2+1.05*2.1*13+1.17*2.7*2+1.19*2.7*23+1.3*2.7*2+1.43*2.7*11)</f>
        <v>1239.01</v>
      </c>
      <c r="AU55" s="91">
        <f>492697.1/1000*2.95-(0.7*2.1*15+0.8*2.1*18+0.9*2.1*2+1.05*2.1*13+1.17*2.7*2+1.19*2.7*23+1.3*2.7*2+1.43*2.7*11)</f>
        <v>1239.01</v>
      </c>
      <c r="AV55" s="91">
        <f>492085.423/1000*2.95-(163.47+0.7*2.1*12+0.8*2.1*22+0.9*2.1*2+1.05*2.1*12)</f>
        <v>1203.3399999999999</v>
      </c>
      <c r="AW55" s="91">
        <f t="shared" ref="AW55:AZ55" si="57">492085.423/1000*2.95-(163.47+0.7*2.1*12+0.8*2.1*22+0.9*2.1*2+1.05*2.1*12)</f>
        <v>1203.3399999999999</v>
      </c>
      <c r="AX55" s="91">
        <f t="shared" si="57"/>
        <v>1203.3399999999999</v>
      </c>
      <c r="AY55" s="91">
        <f t="shared" si="57"/>
        <v>1203.3399999999999</v>
      </c>
      <c r="AZ55" s="91">
        <f t="shared" si="57"/>
        <v>1203.3399999999999</v>
      </c>
      <c r="BA55" s="91">
        <f>517827.3/1000*2.95-(163.86+0.7*2.1*15+0.8*2.1*30+0.9*2.1*2+1.05*2.1*8)</f>
        <v>1269.8599999999999</v>
      </c>
      <c r="BB55" s="91">
        <f t="shared" ref="BB55:BH55" si="58">517827.3/1000*2.95-(163.86+0.7*2.1*15+0.8*2.1*30+0.9*2.1*2+1.05*2.1*8)</f>
        <v>1269.8599999999999</v>
      </c>
      <c r="BC55" s="91">
        <f t="shared" si="58"/>
        <v>1269.8599999999999</v>
      </c>
      <c r="BD55" s="91">
        <f t="shared" si="58"/>
        <v>1269.8599999999999</v>
      </c>
      <c r="BE55" s="91">
        <f t="shared" si="58"/>
        <v>1269.8599999999999</v>
      </c>
      <c r="BF55" s="91">
        <f t="shared" si="58"/>
        <v>1269.8599999999999</v>
      </c>
      <c r="BG55" s="91">
        <f t="shared" si="58"/>
        <v>1269.8599999999999</v>
      </c>
      <c r="BH55" s="91">
        <f t="shared" si="58"/>
        <v>1269.8599999999999</v>
      </c>
      <c r="BI55" s="91">
        <f>SUM(BL55:BZ55)</f>
        <v>14505.76</v>
      </c>
      <c r="BJ55" s="91"/>
      <c r="BK55" s="91"/>
      <c r="BL55" s="91">
        <f>541985.3/1000*2.95-(166.32+0.7*2.1*18+0.8*2.1*24+1.05*2.1*15)</f>
        <v>1332.68</v>
      </c>
      <c r="BM55" s="91">
        <f>541985.3/1000*2.95-(166.32+0.7*2.1*18+0.8*2.1*24+1.05*2.1*15)</f>
        <v>1332.68</v>
      </c>
      <c r="BN55" s="91">
        <f>381977.9/1000*2.95-(145.584+0.7*2.1*10+0.8*2.1*24+1.05*2.1*7)</f>
        <v>910.8</v>
      </c>
      <c r="BO55" s="91">
        <f t="shared" ref="BO55:BZ55" si="59">381977.9/1000*2.95-(145.584+0.7*2.1*10+0.8*2.1*24+1.05*2.1*7)</f>
        <v>910.8</v>
      </c>
      <c r="BP55" s="91">
        <f t="shared" si="59"/>
        <v>910.8</v>
      </c>
      <c r="BQ55" s="91">
        <f t="shared" si="59"/>
        <v>910.8</v>
      </c>
      <c r="BR55" s="91">
        <f t="shared" si="59"/>
        <v>910.8</v>
      </c>
      <c r="BS55" s="91">
        <f t="shared" si="59"/>
        <v>910.8</v>
      </c>
      <c r="BT55" s="91">
        <f t="shared" si="59"/>
        <v>910.8</v>
      </c>
      <c r="BU55" s="91">
        <f t="shared" si="59"/>
        <v>910.8</v>
      </c>
      <c r="BV55" s="91">
        <f t="shared" si="59"/>
        <v>910.8</v>
      </c>
      <c r="BW55" s="91">
        <f t="shared" si="59"/>
        <v>910.8</v>
      </c>
      <c r="BX55" s="91">
        <f t="shared" si="59"/>
        <v>910.8</v>
      </c>
      <c r="BY55" s="91">
        <f t="shared" si="59"/>
        <v>910.8</v>
      </c>
      <c r="BZ55" s="91">
        <f t="shared" si="59"/>
        <v>910.8</v>
      </c>
      <c r="CA55" s="91">
        <f>SUM(CD55:CR55)</f>
        <v>14370.35</v>
      </c>
      <c r="CB55" s="91"/>
      <c r="CC55" s="91"/>
      <c r="CD55" s="91">
        <f>515809.1/1000*2.95-(164.97+0.7*2.1*17+0.8*2.1*24+1.05*2.1*14)</f>
        <v>1260.49</v>
      </c>
      <c r="CE55" s="91">
        <f>515809.1/1000*2.95-(164.97+0.7*2.1*17+0.8*2.1*24+1.05*2.1*14)</f>
        <v>1260.49</v>
      </c>
      <c r="CF55" s="91">
        <f>381137.4/1000*2.95-(144.3+0.7*2.1*11+0.8*2.1*22+1.05*2.1*7)</f>
        <v>911.49</v>
      </c>
      <c r="CG55" s="91">
        <f t="shared" ref="CG55:CR55" si="60">381137.4/1000*2.95-(144.3+0.7*2.1*11+0.8*2.1*22+1.05*2.1*7)</f>
        <v>911.49</v>
      </c>
      <c r="CH55" s="91">
        <f t="shared" si="60"/>
        <v>911.49</v>
      </c>
      <c r="CI55" s="91">
        <f t="shared" si="60"/>
        <v>911.49</v>
      </c>
      <c r="CJ55" s="91">
        <f t="shared" si="60"/>
        <v>911.49</v>
      </c>
      <c r="CK55" s="91">
        <f t="shared" si="60"/>
        <v>911.49</v>
      </c>
      <c r="CL55" s="91">
        <f t="shared" si="60"/>
        <v>911.49</v>
      </c>
      <c r="CM55" s="91">
        <f t="shared" si="60"/>
        <v>911.49</v>
      </c>
      <c r="CN55" s="91">
        <f t="shared" si="60"/>
        <v>911.49</v>
      </c>
      <c r="CO55" s="91">
        <f t="shared" si="60"/>
        <v>911.49</v>
      </c>
      <c r="CP55" s="91">
        <f t="shared" si="60"/>
        <v>911.49</v>
      </c>
      <c r="CQ55" s="91">
        <f t="shared" si="60"/>
        <v>911.49</v>
      </c>
      <c r="CR55" s="91">
        <f t="shared" si="60"/>
        <v>911.49</v>
      </c>
      <c r="CS55" s="91">
        <f>SUM(CV55:DJ55)</f>
        <v>13932.94</v>
      </c>
      <c r="CT55" s="91"/>
      <c r="CU55" s="91"/>
      <c r="CV55" s="91">
        <f>372504.4/1000*2.95-(102.5+0.7*2.1*11+0.8*2.1*16+1.05*2.1*10)</f>
        <v>931.29</v>
      </c>
      <c r="CW55" s="91">
        <f>372504.4/1000*2.95-(102.5+0.7*2.1*11+0.8*2.1*16+1.05*2.1*10)</f>
        <v>931.29</v>
      </c>
      <c r="CX55" s="91">
        <f>392890.75/1000*2.95-(133.1+0.7*2.1*12+0.8*2.1*22+1.05*2.1*8)</f>
        <v>953.69</v>
      </c>
      <c r="CY55" s="91">
        <f t="shared" ref="CY55:DD55" si="61">392890.75/1000*2.95-(133.1+0.7*2.1*12+0.8*2.1*22+1.05*2.1*8)</f>
        <v>953.69</v>
      </c>
      <c r="CZ55" s="91">
        <f t="shared" si="61"/>
        <v>953.69</v>
      </c>
      <c r="DA55" s="91">
        <f t="shared" si="61"/>
        <v>953.69</v>
      </c>
      <c r="DB55" s="91">
        <f t="shared" si="61"/>
        <v>953.69</v>
      </c>
      <c r="DC55" s="91">
        <f t="shared" si="61"/>
        <v>953.69</v>
      </c>
      <c r="DD55" s="91">
        <f t="shared" si="61"/>
        <v>953.69</v>
      </c>
      <c r="DE55" s="91">
        <f>576341.7/1000*2.95-(204.15+0.7*2.1*16+0.8*2.1*34+1.05*2.1*11)</f>
        <v>1391.16</v>
      </c>
      <c r="DF55" s="91">
        <f>508701.4/1000*2.95-(190.4+0.7*2.1*14+0.8*2.1*34+1.05*2.1*10)</f>
        <v>1210.52</v>
      </c>
      <c r="DG55" s="91">
        <f>431291.1/1000*2.95-(173.3+0.7*2.1*12+0.8*2.1*30+1.05*2.1*8)</f>
        <v>1013.33</v>
      </c>
      <c r="DH55" s="91">
        <f>331979.87/1000*2.95-(149.3+0.7*2.1*10+0.8*2.1*22+1.05*2.1*6)</f>
        <v>765.15</v>
      </c>
      <c r="DI55" s="91">
        <f>271309.2/1000*2.95-(128.55+0.7*2.1*7+0.8*2.1*18+1.05*2.1*6)</f>
        <v>618.04999999999995</v>
      </c>
      <c r="DJ55" s="91">
        <f>181451.2/1000*2.95-(108.2+0.7*2.1*5+0.8*2.1*10+1.05*2.1*3)</f>
        <v>396.32</v>
      </c>
      <c r="DK55" s="91">
        <f>SUM(DN55:DV55)</f>
        <v>10215.9</v>
      </c>
      <c r="DL55" s="91"/>
      <c r="DM55" s="91"/>
      <c r="DN55" s="91">
        <f>536510.4/1000*2.95-(174.1+0.7*2.1*18+0.8*2.1*18+1.05*2.1*15)</f>
        <v>1318.83</v>
      </c>
      <c r="DO55" s="91">
        <f>536510.4/1000*2.95-(174.1+0.7*2.1*18+0.8*2.1*18+1.05*2.1*15)</f>
        <v>1318.83</v>
      </c>
      <c r="DP55" s="91">
        <f>535592.7598/1000*2.95-(178.04+0.7*2.1*18+0.8*2.1*20+1.05*2.1*14)</f>
        <v>1311.03</v>
      </c>
      <c r="DQ55" s="91">
        <f t="shared" ref="DQ55:DR55" si="62">535592.7598/1000*2.95-(178.04+0.7*2.1*18+0.8*2.1*20+1.05*2.1*14)</f>
        <v>1311.03</v>
      </c>
      <c r="DR55" s="91">
        <f t="shared" si="62"/>
        <v>1311.03</v>
      </c>
      <c r="DS55" s="91">
        <f>485888.3/1000*2.95-(160.14+0.7*2.1*15+0.8*2.1*20+1.05*2.1*12)</f>
        <v>1191.1199999999999</v>
      </c>
      <c r="DT55" s="91">
        <f>416598.78/1000*2.95-(136.2+0.7*2.1*12+0.8*2.1*18+1.05*2.1*10)</f>
        <v>1022.84</v>
      </c>
      <c r="DU55" s="91">
        <f>336712.5/1000*2.95-(119+0.7*2.1*11+0.8*2.1*16+1.05*2.1*5)</f>
        <v>820.23</v>
      </c>
      <c r="DV55" s="91">
        <f>254542.1/1000*2.95-(98.46+0.7*2.1*7+0.8*2.1*12+1.05*2.1*5)</f>
        <v>610.96</v>
      </c>
      <c r="DW55" s="119">
        <f>SUMPRODUCT(DW56:DW57,F56:F57)/F55</f>
        <v>0</v>
      </c>
      <c r="DX55" s="112"/>
      <c r="DY55" s="119">
        <f>SUM(DW55:DX55)</f>
        <v>0</v>
      </c>
      <c r="DZ55" s="91">
        <f>DW55*F55</f>
        <v>0</v>
      </c>
      <c r="EA55" s="91">
        <f>DX55*F55</f>
        <v>0</v>
      </c>
      <c r="EB55" s="91">
        <f>DY55*F55</f>
        <v>0</v>
      </c>
    </row>
    <row r="56" spans="1:134" s="32" customFormat="1" outlineLevel="2" x14ac:dyDescent="0.25">
      <c r="A56" s="63"/>
      <c r="B56" s="63"/>
      <c r="C56" s="100" t="s">
        <v>114</v>
      </c>
      <c r="D56" s="65" t="s">
        <v>106</v>
      </c>
      <c r="E56" s="112"/>
      <c r="F56" s="91">
        <f>$F$55*E56</f>
        <v>0</v>
      </c>
      <c r="G56" s="91"/>
      <c r="H56" s="91"/>
      <c r="I56" s="91"/>
      <c r="J56" s="91"/>
      <c r="K56" s="91"/>
      <c r="L56" s="91"/>
      <c r="M56" s="91"/>
      <c r="N56" s="91"/>
      <c r="O56" s="91"/>
      <c r="P56" s="91"/>
      <c r="Q56" s="91"/>
      <c r="R56" s="91"/>
      <c r="S56" s="91"/>
      <c r="T56" s="91"/>
      <c r="U56" s="91"/>
      <c r="V56" s="91"/>
      <c r="W56" s="91"/>
      <c r="X56" s="91"/>
      <c r="Y56" s="92"/>
      <c r="Z56" s="92"/>
      <c r="AA56" s="92"/>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112"/>
      <c r="DX56" s="112"/>
      <c r="DY56" s="119"/>
      <c r="DZ56" s="91"/>
      <c r="EA56" s="91"/>
      <c r="EB56" s="91"/>
    </row>
    <row r="57" spans="1:134" s="32" customFormat="1" outlineLevel="2" x14ac:dyDescent="0.25">
      <c r="A57" s="63"/>
      <c r="B57" s="63"/>
      <c r="C57" s="100" t="s">
        <v>120</v>
      </c>
      <c r="D57" s="65" t="s">
        <v>105</v>
      </c>
      <c r="E57" s="112"/>
      <c r="F57" s="91">
        <f>$F$55*E57</f>
        <v>0</v>
      </c>
      <c r="G57" s="91"/>
      <c r="H57" s="91"/>
      <c r="I57" s="91"/>
      <c r="J57" s="91"/>
      <c r="K57" s="91"/>
      <c r="L57" s="91"/>
      <c r="M57" s="91"/>
      <c r="N57" s="91"/>
      <c r="O57" s="91"/>
      <c r="P57" s="91"/>
      <c r="Q57" s="91"/>
      <c r="R57" s="91"/>
      <c r="S57" s="91"/>
      <c r="T57" s="91"/>
      <c r="U57" s="91"/>
      <c r="V57" s="91"/>
      <c r="W57" s="91"/>
      <c r="X57" s="91"/>
      <c r="Y57" s="92"/>
      <c r="Z57" s="92"/>
      <c r="AA57" s="92"/>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112"/>
      <c r="DX57" s="112"/>
      <c r="DY57" s="119"/>
      <c r="DZ57" s="91"/>
      <c r="EA57" s="91"/>
      <c r="EB57" s="91"/>
    </row>
    <row r="58" spans="1:134" s="31" customFormat="1" ht="18.75" customHeight="1" x14ac:dyDescent="0.25">
      <c r="A58" s="69"/>
      <c r="B58" s="69" t="s">
        <v>155</v>
      </c>
      <c r="C58" s="95" t="s">
        <v>164</v>
      </c>
      <c r="D58" s="71" t="s">
        <v>19</v>
      </c>
      <c r="E58" s="94"/>
      <c r="F58" s="94">
        <f>F59</f>
        <v>29618.09</v>
      </c>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115"/>
      <c r="DX58" s="115"/>
      <c r="DY58" s="115"/>
      <c r="DZ58" s="115"/>
      <c r="EA58" s="115"/>
      <c r="EB58" s="115"/>
      <c r="ED58" s="77"/>
    </row>
    <row r="59" spans="1:134" s="32" customFormat="1" ht="27" customHeight="1" outlineLevel="1" x14ac:dyDescent="0.25">
      <c r="A59" s="63"/>
      <c r="B59" s="63" t="s">
        <v>156</v>
      </c>
      <c r="C59" s="64" t="s">
        <v>123</v>
      </c>
      <c r="D59" s="65" t="s">
        <v>19</v>
      </c>
      <c r="E59" s="91"/>
      <c r="F59" s="91">
        <f>G59+Y59+AQ59+BI59+CA59+CS59+DK59</f>
        <v>29618.09</v>
      </c>
      <c r="G59" s="91">
        <f>SUM(J59:X59)</f>
        <v>4737.59</v>
      </c>
      <c r="H59" s="91"/>
      <c r="I59" s="91"/>
      <c r="J59" s="91">
        <f>67430.2/1000*2.95-(0.7*2.1*6+0.8*2.1*2)</f>
        <v>186.74</v>
      </c>
      <c r="K59" s="91">
        <f>67430.2/1000*2.95-(0.7*2.1*6+0.8*2.1*2)</f>
        <v>186.74</v>
      </c>
      <c r="L59" s="91">
        <f>118730/1000*2.95-(0.7*2.1*14)</f>
        <v>329.67</v>
      </c>
      <c r="M59" s="91">
        <f>118730/1000*2.95-(0.7*2.1*14)</f>
        <v>329.67</v>
      </c>
      <c r="N59" s="91">
        <f>118730/1000*2.95-(0.7*2.1*14)</f>
        <v>329.67</v>
      </c>
      <c r="O59" s="91">
        <f>118730/1000*2.95-(0.7*2.1*14)</f>
        <v>329.67</v>
      </c>
      <c r="P59" s="91">
        <f>118730/1000*2.95-(0.7*2.1*14)</f>
        <v>329.67</v>
      </c>
      <c r="Q59" s="91">
        <f>122050/1000*2.95-(0.7*2.1*14)</f>
        <v>339.47</v>
      </c>
      <c r="R59" s="91">
        <f t="shared" ref="R59:X59" si="63">122050/1000*2.95-(0.7*2.1*14)</f>
        <v>339.47</v>
      </c>
      <c r="S59" s="91">
        <f t="shared" si="63"/>
        <v>339.47</v>
      </c>
      <c r="T59" s="91">
        <f t="shared" si="63"/>
        <v>339.47</v>
      </c>
      <c r="U59" s="91">
        <f t="shared" si="63"/>
        <v>339.47</v>
      </c>
      <c r="V59" s="91">
        <f t="shared" si="63"/>
        <v>339.47</v>
      </c>
      <c r="W59" s="91">
        <f t="shared" si="63"/>
        <v>339.47</v>
      </c>
      <c r="X59" s="91">
        <f t="shared" si="63"/>
        <v>339.47</v>
      </c>
      <c r="Y59" s="92">
        <f>SUM(AB59:AP59)</f>
        <v>5025.07</v>
      </c>
      <c r="Z59" s="92"/>
      <c r="AA59" s="92"/>
      <c r="AB59" s="91">
        <f>112659.5368/1000*2.95-(0.7*2.1*12+0.9*2.1*1)</f>
        <v>312.82</v>
      </c>
      <c r="AC59" s="91">
        <f>112659.5368/1000*2.95-(0.7*2.1*12+0.9*2.1*1)</f>
        <v>312.82</v>
      </c>
      <c r="AD59" s="91">
        <f>122790/1000*2.95-(0.7*2.1*13+0.9*2.1*1)</f>
        <v>341.23</v>
      </c>
      <c r="AE59" s="91">
        <f>122790/1000*2.95-(0.7*2.1*13+0.9*2.1*1)</f>
        <v>341.23</v>
      </c>
      <c r="AF59" s="91">
        <f>122790/1000*2.95-(0.7*2.1*13+0.9*2.1*1)</f>
        <v>341.23</v>
      </c>
      <c r="AG59" s="91">
        <f>122790/1000*2.95-(0.7*2.1*13+0.9*2.1*1)</f>
        <v>341.23</v>
      </c>
      <c r="AH59" s="91">
        <f>122790/1000*2.95-(0.7*2.1*13+0.9*2.1*1)</f>
        <v>341.23</v>
      </c>
      <c r="AI59" s="91">
        <f>121240/1000*2.95-(0.7*2.1*13+0.9*2.1*1)</f>
        <v>336.66</v>
      </c>
      <c r="AJ59" s="91">
        <f t="shared" ref="AJ59:AP59" si="64">121240/1000*2.95-(0.7*2.1*13+0.9*2.1*1)</f>
        <v>336.66</v>
      </c>
      <c r="AK59" s="91">
        <f t="shared" si="64"/>
        <v>336.66</v>
      </c>
      <c r="AL59" s="91">
        <f t="shared" si="64"/>
        <v>336.66</v>
      </c>
      <c r="AM59" s="91">
        <f t="shared" si="64"/>
        <v>336.66</v>
      </c>
      <c r="AN59" s="91">
        <f t="shared" si="64"/>
        <v>336.66</v>
      </c>
      <c r="AO59" s="91">
        <f t="shared" si="64"/>
        <v>336.66</v>
      </c>
      <c r="AP59" s="91">
        <f t="shared" si="64"/>
        <v>336.66</v>
      </c>
      <c r="AQ59" s="91">
        <f>SUM(AT59:BH59)</f>
        <v>5064.82</v>
      </c>
      <c r="AR59" s="91"/>
      <c r="AS59" s="91"/>
      <c r="AT59" s="91">
        <f>123520/1000*2.95-(0.7*2.1*13+0.9*2.1*1)</f>
        <v>343.38</v>
      </c>
      <c r="AU59" s="91">
        <f>123520/1000*2.95-(0.7*2.1*13+0.9*2.1*1)</f>
        <v>343.38</v>
      </c>
      <c r="AV59" s="91">
        <f>121310/1000*2.95-(0.7*2.1*13+0.9*2.1*1)</f>
        <v>336.86</v>
      </c>
      <c r="AW59" s="91">
        <f>121310/1000*2.95-(0.7*2.1*13+0.9*2.1*1)</f>
        <v>336.86</v>
      </c>
      <c r="AX59" s="91">
        <f>121310/1000*2.95-(0.7*2.1*13+0.9*2.1*1)</f>
        <v>336.86</v>
      </c>
      <c r="AY59" s="91">
        <f>121310/1000*2.95-(0.7*2.1*13+0.9*2.1*1)</f>
        <v>336.86</v>
      </c>
      <c r="AZ59" s="91">
        <f>121310/1000*2.95-(0.7*2.1*13+0.9*2.1*1)</f>
        <v>336.86</v>
      </c>
      <c r="BA59" s="91">
        <f>121260/1000*2.95-(0.7*2.1*13+0.9*2.1*1)</f>
        <v>336.72</v>
      </c>
      <c r="BB59" s="91">
        <f t="shared" ref="BB59:BH59" si="65">121260/1000*2.95-(0.7*2.1*13+0.9*2.1*1)</f>
        <v>336.72</v>
      </c>
      <c r="BC59" s="91">
        <f t="shared" si="65"/>
        <v>336.72</v>
      </c>
      <c r="BD59" s="91">
        <f t="shared" si="65"/>
        <v>336.72</v>
      </c>
      <c r="BE59" s="91">
        <f t="shared" si="65"/>
        <v>336.72</v>
      </c>
      <c r="BF59" s="91">
        <f t="shared" si="65"/>
        <v>336.72</v>
      </c>
      <c r="BG59" s="91">
        <f t="shared" si="65"/>
        <v>336.72</v>
      </c>
      <c r="BH59" s="91">
        <f t="shared" si="65"/>
        <v>336.72</v>
      </c>
      <c r="BI59" s="91">
        <f>SUM(BL59:BZ59)</f>
        <v>3847.42</v>
      </c>
      <c r="BJ59" s="91"/>
      <c r="BK59" s="91"/>
      <c r="BL59" s="91">
        <f>134570/1000*2.95-(0.7*2.1*16)</f>
        <v>373.46</v>
      </c>
      <c r="BM59" s="91">
        <f>134570/1000*2.95-(0.7*2.1*16)</f>
        <v>373.46</v>
      </c>
      <c r="BN59" s="91">
        <f>85830/1000*2.95-(0.7*2.1*10)</f>
        <v>238.5</v>
      </c>
      <c r="BO59" s="91">
        <f t="shared" ref="BO59:BZ59" si="66">85830/1000*2.95-(0.7*2.1*10)</f>
        <v>238.5</v>
      </c>
      <c r="BP59" s="91">
        <f t="shared" si="66"/>
        <v>238.5</v>
      </c>
      <c r="BQ59" s="91">
        <f t="shared" si="66"/>
        <v>238.5</v>
      </c>
      <c r="BR59" s="91">
        <f t="shared" si="66"/>
        <v>238.5</v>
      </c>
      <c r="BS59" s="91">
        <f t="shared" si="66"/>
        <v>238.5</v>
      </c>
      <c r="BT59" s="91">
        <f t="shared" si="66"/>
        <v>238.5</v>
      </c>
      <c r="BU59" s="91">
        <f t="shared" si="66"/>
        <v>238.5</v>
      </c>
      <c r="BV59" s="91">
        <f t="shared" si="66"/>
        <v>238.5</v>
      </c>
      <c r="BW59" s="91">
        <f t="shared" si="66"/>
        <v>238.5</v>
      </c>
      <c r="BX59" s="91">
        <f t="shared" si="66"/>
        <v>238.5</v>
      </c>
      <c r="BY59" s="91">
        <f>85830/1000*2.95-(0.7*2.1*10)</f>
        <v>238.5</v>
      </c>
      <c r="BZ59" s="91">
        <f t="shared" si="66"/>
        <v>238.5</v>
      </c>
      <c r="CA59" s="91">
        <f>SUM(CD59:CR59)</f>
        <v>3675.23</v>
      </c>
      <c r="CB59" s="91"/>
      <c r="CC59" s="91"/>
      <c r="CD59" s="91">
        <f>125135/1000*2.95-(0.7*2.1*15)</f>
        <v>347.1</v>
      </c>
      <c r="CE59" s="91">
        <f>125135/1000*2.95-(0.7*2.1*15)</f>
        <v>347.1</v>
      </c>
      <c r="CF59" s="91">
        <f>82716.8/1000*2.95-(0.7*2.1*10)</f>
        <v>229.31</v>
      </c>
      <c r="CG59" s="91">
        <f t="shared" ref="CG59:CR59" si="67">82716.8/1000*2.95-(0.7*2.1*10)</f>
        <v>229.31</v>
      </c>
      <c r="CH59" s="91">
        <f t="shared" si="67"/>
        <v>229.31</v>
      </c>
      <c r="CI59" s="91">
        <f t="shared" si="67"/>
        <v>229.31</v>
      </c>
      <c r="CJ59" s="91">
        <f t="shared" si="67"/>
        <v>229.31</v>
      </c>
      <c r="CK59" s="91">
        <f t="shared" si="67"/>
        <v>229.31</v>
      </c>
      <c r="CL59" s="91">
        <f t="shared" si="67"/>
        <v>229.31</v>
      </c>
      <c r="CM59" s="91">
        <f t="shared" si="67"/>
        <v>229.31</v>
      </c>
      <c r="CN59" s="91">
        <f t="shared" si="67"/>
        <v>229.31</v>
      </c>
      <c r="CO59" s="91">
        <f>82716.8/1000*2.95-(0.7*2.1*10)</f>
        <v>229.31</v>
      </c>
      <c r="CP59" s="91">
        <f t="shared" si="67"/>
        <v>229.31</v>
      </c>
      <c r="CQ59" s="91">
        <f t="shared" si="67"/>
        <v>229.31</v>
      </c>
      <c r="CR59" s="91">
        <f t="shared" si="67"/>
        <v>229.31</v>
      </c>
      <c r="CS59" s="91">
        <f>SUM(CV59:DJ59)</f>
        <v>4007.09</v>
      </c>
      <c r="CT59" s="91"/>
      <c r="CU59" s="91"/>
      <c r="CV59" s="91">
        <f>96070.8/1000*2.95-(0.7*2.1*11)</f>
        <v>267.24</v>
      </c>
      <c r="CW59" s="91">
        <f>96070.8/1000*2.95-(0.7*2.1*11)</f>
        <v>267.24</v>
      </c>
      <c r="CX59" s="91">
        <f>102320/1000*2.95-(0.7*2.1*12)</f>
        <v>284.2</v>
      </c>
      <c r="CY59" s="91">
        <f t="shared" ref="CY59:DD59" si="68">102320/1000*2.95-(0.7*2.1*12)</f>
        <v>284.2</v>
      </c>
      <c r="CZ59" s="91">
        <f t="shared" si="68"/>
        <v>284.2</v>
      </c>
      <c r="DA59" s="91">
        <f t="shared" si="68"/>
        <v>284.2</v>
      </c>
      <c r="DB59" s="91">
        <f t="shared" si="68"/>
        <v>284.2</v>
      </c>
      <c r="DC59" s="91">
        <f t="shared" si="68"/>
        <v>284.2</v>
      </c>
      <c r="DD59" s="91">
        <f t="shared" si="68"/>
        <v>284.2</v>
      </c>
      <c r="DE59" s="91">
        <f>134970/1000*2.95-(0.7*2.1*16)</f>
        <v>374.64</v>
      </c>
      <c r="DF59" s="91">
        <f>124690/1000*2.95-(0.7*2.1*14)</f>
        <v>347.26</v>
      </c>
      <c r="DG59" s="91">
        <f>108000/1000*2.95-(0.7*2.1*12)</f>
        <v>300.95999999999998</v>
      </c>
      <c r="DH59" s="91">
        <f>74600/1000*2.95-(0.7*2.1*9)</f>
        <v>206.84</v>
      </c>
      <c r="DI59" s="91">
        <f>58310/1000*2.95-(0.7*2.1*7)</f>
        <v>161.72</v>
      </c>
      <c r="DJ59" s="91">
        <f>33110/1000*2.95-(0.7*2.1*4)</f>
        <v>91.79</v>
      </c>
      <c r="DK59" s="91">
        <f>SUM(DN59:DV59)</f>
        <v>3260.87</v>
      </c>
      <c r="DL59" s="91"/>
      <c r="DM59" s="91"/>
      <c r="DN59" s="91">
        <f>156370/1000*2.95-(0.7*2.1*17)</f>
        <v>436.3</v>
      </c>
      <c r="DO59" s="91">
        <f>156370/1000*2.95-(0.7*2.1*17)</f>
        <v>436.3</v>
      </c>
      <c r="DP59" s="91">
        <f>154830/1000*2.95-(0.7*2.1*17)</f>
        <v>431.76</v>
      </c>
      <c r="DQ59" s="91">
        <f>154830/1000*2.95-(0.7*2.1*17)</f>
        <v>431.76</v>
      </c>
      <c r="DR59" s="91">
        <f>154830/1000*2.95-(0.7*2.1*17)</f>
        <v>431.76</v>
      </c>
      <c r="DS59" s="91">
        <f>135300/1000*2.95-(0.7*2.1*15)</f>
        <v>377.09</v>
      </c>
      <c r="DT59" s="91">
        <f>109700/1000*2.95-(0.7*2.1*12)</f>
        <v>305.98</v>
      </c>
      <c r="DU59" s="91">
        <f>87120/1000*2.95-(0.7*2.1*10)</f>
        <v>242.3</v>
      </c>
      <c r="DV59" s="91">
        <f>60310/1000*2.95-(0.7*2.1*7)</f>
        <v>167.62</v>
      </c>
      <c r="DW59" s="119">
        <f>SUMPRODUCT(DW60:DW61,F60:F61)/F59</f>
        <v>0</v>
      </c>
      <c r="DX59" s="112"/>
      <c r="DY59" s="119">
        <f t="shared" ref="DY59" si="69">SUM(DW59:DX59)</f>
        <v>0</v>
      </c>
      <c r="DZ59" s="91">
        <f>DW59*F59</f>
        <v>0</v>
      </c>
      <c r="EA59" s="91">
        <f>DX59*F59</f>
        <v>0</v>
      </c>
      <c r="EB59" s="91">
        <f>DY59*F59</f>
        <v>0</v>
      </c>
    </row>
    <row r="60" spans="1:134" s="32" customFormat="1" outlineLevel="2" x14ac:dyDescent="0.25">
      <c r="A60" s="63"/>
      <c r="B60" s="63"/>
      <c r="C60" s="100" t="s">
        <v>114</v>
      </c>
      <c r="D60" s="65" t="s">
        <v>106</v>
      </c>
      <c r="E60" s="112"/>
      <c r="F60" s="91">
        <f>$F$59*E60</f>
        <v>0</v>
      </c>
      <c r="G60" s="91"/>
      <c r="H60" s="91"/>
      <c r="I60" s="91"/>
      <c r="J60" s="91"/>
      <c r="K60" s="91"/>
      <c r="L60" s="91"/>
      <c r="M60" s="91"/>
      <c r="N60" s="91"/>
      <c r="O60" s="91"/>
      <c r="P60" s="91"/>
      <c r="Q60" s="91"/>
      <c r="R60" s="91"/>
      <c r="S60" s="91"/>
      <c r="T60" s="91"/>
      <c r="U60" s="91"/>
      <c r="V60" s="91"/>
      <c r="W60" s="91"/>
      <c r="X60" s="91"/>
      <c r="Y60" s="92"/>
      <c r="Z60" s="92"/>
      <c r="AA60" s="92"/>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112"/>
      <c r="DX60" s="119"/>
      <c r="DY60" s="119"/>
      <c r="DZ60" s="91"/>
      <c r="EA60" s="91"/>
      <c r="EB60" s="91"/>
    </row>
    <row r="61" spans="1:134" s="32" customFormat="1" outlineLevel="2" x14ac:dyDescent="0.25">
      <c r="A61" s="63"/>
      <c r="B61" s="63"/>
      <c r="C61" s="100" t="s">
        <v>113</v>
      </c>
      <c r="D61" s="65" t="s">
        <v>105</v>
      </c>
      <c r="E61" s="112"/>
      <c r="F61" s="91">
        <f>$F$59*E61</f>
        <v>0</v>
      </c>
      <c r="G61" s="91"/>
      <c r="H61" s="91"/>
      <c r="I61" s="91"/>
      <c r="J61" s="91"/>
      <c r="K61" s="91"/>
      <c r="L61" s="91"/>
      <c r="M61" s="91"/>
      <c r="N61" s="91"/>
      <c r="O61" s="91"/>
      <c r="P61" s="91"/>
      <c r="Q61" s="91"/>
      <c r="R61" s="91"/>
      <c r="S61" s="91"/>
      <c r="T61" s="91"/>
      <c r="U61" s="91"/>
      <c r="V61" s="91"/>
      <c r="W61" s="91"/>
      <c r="X61" s="91"/>
      <c r="Y61" s="92"/>
      <c r="Z61" s="92"/>
      <c r="AA61" s="92"/>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112"/>
      <c r="DX61" s="119"/>
      <c r="DY61" s="119"/>
      <c r="DZ61" s="91"/>
      <c r="EA61" s="91"/>
      <c r="EB61" s="91"/>
    </row>
    <row r="62" spans="1:134" s="31" customFormat="1" ht="18.75" customHeight="1" x14ac:dyDescent="0.25">
      <c r="A62" s="69"/>
      <c r="B62" s="69" t="s">
        <v>162</v>
      </c>
      <c r="C62" s="95" t="s">
        <v>147</v>
      </c>
      <c r="D62" s="71" t="s">
        <v>19</v>
      </c>
      <c r="E62" s="94"/>
      <c r="F62" s="94">
        <f>F63</f>
        <v>7</v>
      </c>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115"/>
      <c r="DX62" s="115"/>
      <c r="DY62" s="115"/>
      <c r="DZ62" s="115"/>
      <c r="EA62" s="115"/>
      <c r="EB62" s="115"/>
      <c r="ED62" s="77"/>
    </row>
    <row r="63" spans="1:134" s="32" customFormat="1" ht="27" customHeight="1" outlineLevel="1" x14ac:dyDescent="0.25">
      <c r="A63" s="63"/>
      <c r="B63" s="63" t="s">
        <v>163</v>
      </c>
      <c r="C63" s="64" t="s">
        <v>165</v>
      </c>
      <c r="D63" s="65" t="s">
        <v>19</v>
      </c>
      <c r="E63" s="91"/>
      <c r="F63" s="91">
        <f>G63+Y63+AQ63+BI63+CA63+CS63+DK63</f>
        <v>7</v>
      </c>
      <c r="G63" s="91">
        <v>1</v>
      </c>
      <c r="H63" s="91"/>
      <c r="I63" s="91"/>
      <c r="J63" s="91"/>
      <c r="K63" s="91"/>
      <c r="L63" s="91"/>
      <c r="M63" s="91"/>
      <c r="N63" s="91"/>
      <c r="O63" s="91"/>
      <c r="P63" s="91"/>
      <c r="Q63" s="91"/>
      <c r="R63" s="91"/>
      <c r="S63" s="91"/>
      <c r="T63" s="91"/>
      <c r="U63" s="91"/>
      <c r="V63" s="91"/>
      <c r="W63" s="91"/>
      <c r="X63" s="91"/>
      <c r="Y63" s="92">
        <v>1</v>
      </c>
      <c r="Z63" s="92"/>
      <c r="AA63" s="92"/>
      <c r="AB63" s="91"/>
      <c r="AC63" s="91"/>
      <c r="AD63" s="91"/>
      <c r="AE63" s="91"/>
      <c r="AF63" s="91"/>
      <c r="AG63" s="91"/>
      <c r="AH63" s="91"/>
      <c r="AI63" s="91"/>
      <c r="AJ63" s="91"/>
      <c r="AK63" s="91"/>
      <c r="AL63" s="91"/>
      <c r="AM63" s="91"/>
      <c r="AN63" s="91"/>
      <c r="AO63" s="91"/>
      <c r="AP63" s="91"/>
      <c r="AQ63" s="91">
        <v>1</v>
      </c>
      <c r="AR63" s="91"/>
      <c r="AS63" s="91"/>
      <c r="AT63" s="91"/>
      <c r="AU63" s="91"/>
      <c r="AV63" s="91"/>
      <c r="AW63" s="91"/>
      <c r="AX63" s="91"/>
      <c r="AY63" s="91"/>
      <c r="AZ63" s="91"/>
      <c r="BA63" s="91"/>
      <c r="BB63" s="91"/>
      <c r="BC63" s="91"/>
      <c r="BD63" s="91"/>
      <c r="BE63" s="91"/>
      <c r="BF63" s="91"/>
      <c r="BG63" s="91"/>
      <c r="BH63" s="91"/>
      <c r="BI63" s="91">
        <v>1</v>
      </c>
      <c r="BJ63" s="91"/>
      <c r="BK63" s="91"/>
      <c r="BL63" s="91"/>
      <c r="BM63" s="91"/>
      <c r="BN63" s="91"/>
      <c r="BO63" s="91"/>
      <c r="BP63" s="91"/>
      <c r="BQ63" s="91"/>
      <c r="BR63" s="91"/>
      <c r="BS63" s="91"/>
      <c r="BT63" s="91"/>
      <c r="BU63" s="91"/>
      <c r="BV63" s="91"/>
      <c r="BW63" s="91"/>
      <c r="BX63" s="91"/>
      <c r="BY63" s="91"/>
      <c r="BZ63" s="91"/>
      <c r="CA63" s="91">
        <v>1</v>
      </c>
      <c r="CB63" s="91"/>
      <c r="CC63" s="91"/>
      <c r="CD63" s="91"/>
      <c r="CE63" s="91"/>
      <c r="CF63" s="91"/>
      <c r="CG63" s="91"/>
      <c r="CH63" s="91"/>
      <c r="CI63" s="91"/>
      <c r="CJ63" s="91"/>
      <c r="CK63" s="91"/>
      <c r="CL63" s="91"/>
      <c r="CM63" s="91"/>
      <c r="CN63" s="91"/>
      <c r="CO63" s="91"/>
      <c r="CP63" s="91"/>
      <c r="CQ63" s="91"/>
      <c r="CR63" s="91"/>
      <c r="CS63" s="91">
        <v>1</v>
      </c>
      <c r="CT63" s="91"/>
      <c r="CU63" s="91"/>
      <c r="CV63" s="91"/>
      <c r="CW63" s="91"/>
      <c r="CX63" s="91"/>
      <c r="CY63" s="91"/>
      <c r="CZ63" s="91"/>
      <c r="DA63" s="91"/>
      <c r="DB63" s="91"/>
      <c r="DC63" s="91"/>
      <c r="DD63" s="91"/>
      <c r="DE63" s="91"/>
      <c r="DF63" s="91"/>
      <c r="DG63" s="91"/>
      <c r="DH63" s="91"/>
      <c r="DI63" s="91"/>
      <c r="DJ63" s="91"/>
      <c r="DK63" s="91">
        <v>1</v>
      </c>
      <c r="DL63" s="91"/>
      <c r="DM63" s="91"/>
      <c r="DN63" s="91">
        <f>156370/1000*2.95-(0.7*2.1*17)</f>
        <v>436.3</v>
      </c>
      <c r="DO63" s="91">
        <f>156370/1000*2.95-(0.7*2.1*17)</f>
        <v>436.3</v>
      </c>
      <c r="DP63" s="91">
        <f>154830/1000*2.95-(0.7*2.1*17)</f>
        <v>431.76</v>
      </c>
      <c r="DQ63" s="91">
        <f>154830/1000*2.95-(0.7*2.1*17)</f>
        <v>431.76</v>
      </c>
      <c r="DR63" s="91">
        <f>154830/1000*2.95-(0.7*2.1*17)</f>
        <v>431.76</v>
      </c>
      <c r="DS63" s="91">
        <f>135300/1000*2.95-(0.7*2.1*15)</f>
        <v>377.09</v>
      </c>
      <c r="DT63" s="91">
        <f>109700/1000*2.95-(0.7*2.1*12)</f>
        <v>305.98</v>
      </c>
      <c r="DU63" s="91">
        <f>87120/1000*2.95-(0.7*2.1*10)</f>
        <v>242.3</v>
      </c>
      <c r="DV63" s="91">
        <f>60310/1000*2.95-(0.7*2.1*7)</f>
        <v>167.62</v>
      </c>
      <c r="DW63" s="119">
        <f>SUMPRODUCT(DW64:DW65,F64:F65)/F63</f>
        <v>0</v>
      </c>
      <c r="DX63" s="112"/>
      <c r="DY63" s="119">
        <f>SUM(DW63:DX63)</f>
        <v>0</v>
      </c>
      <c r="DZ63" s="91">
        <f>DW63*F63</f>
        <v>0</v>
      </c>
      <c r="EA63" s="91">
        <f>DX63*F63</f>
        <v>0</v>
      </c>
      <c r="EB63" s="91">
        <f>DY63*F63</f>
        <v>0</v>
      </c>
    </row>
    <row r="64" spans="1:134" s="32" customFormat="1" outlineLevel="2" x14ac:dyDescent="0.25">
      <c r="A64" s="63"/>
      <c r="B64" s="63"/>
      <c r="C64" s="100" t="s">
        <v>114</v>
      </c>
      <c r="D64" s="65" t="s">
        <v>106</v>
      </c>
      <c r="E64" s="112"/>
      <c r="F64" s="91">
        <f>$F$63*E64</f>
        <v>0</v>
      </c>
      <c r="G64" s="91"/>
      <c r="H64" s="91"/>
      <c r="I64" s="91"/>
      <c r="J64" s="91"/>
      <c r="K64" s="91"/>
      <c r="L64" s="91"/>
      <c r="M64" s="91"/>
      <c r="N64" s="91"/>
      <c r="O64" s="91"/>
      <c r="P64" s="91"/>
      <c r="Q64" s="91"/>
      <c r="R64" s="91"/>
      <c r="S64" s="91"/>
      <c r="T64" s="91"/>
      <c r="U64" s="91"/>
      <c r="V64" s="91"/>
      <c r="W64" s="91"/>
      <c r="X64" s="91"/>
      <c r="Y64" s="92"/>
      <c r="Z64" s="92"/>
      <c r="AA64" s="92"/>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112"/>
      <c r="DX64" s="119"/>
      <c r="DY64" s="119"/>
      <c r="DZ64" s="91"/>
      <c r="EA64" s="91"/>
      <c r="EB64" s="91"/>
    </row>
    <row r="65" spans="1:136" s="32" customFormat="1" outlineLevel="2" x14ac:dyDescent="0.25">
      <c r="A65" s="63"/>
      <c r="B65" s="63"/>
      <c r="C65" s="100" t="s">
        <v>166</v>
      </c>
      <c r="D65" s="65" t="s">
        <v>105</v>
      </c>
      <c r="E65" s="112"/>
      <c r="F65" s="91">
        <f>$F$63*E65</f>
        <v>0</v>
      </c>
      <c r="G65" s="91"/>
      <c r="H65" s="91"/>
      <c r="I65" s="91"/>
      <c r="J65" s="91"/>
      <c r="K65" s="91"/>
      <c r="L65" s="91"/>
      <c r="M65" s="91"/>
      <c r="N65" s="91"/>
      <c r="O65" s="91"/>
      <c r="P65" s="91"/>
      <c r="Q65" s="91"/>
      <c r="R65" s="91"/>
      <c r="S65" s="91"/>
      <c r="T65" s="91"/>
      <c r="U65" s="91"/>
      <c r="V65" s="91"/>
      <c r="W65" s="91"/>
      <c r="X65" s="91"/>
      <c r="Y65" s="92"/>
      <c r="Z65" s="92"/>
      <c r="AA65" s="92"/>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112"/>
      <c r="DX65" s="119"/>
      <c r="DY65" s="119"/>
      <c r="DZ65" s="91"/>
      <c r="EA65" s="91"/>
      <c r="EB65" s="91"/>
    </row>
    <row r="66" spans="1:136" s="32" customFormat="1" ht="21" customHeight="1" x14ac:dyDescent="0.25">
      <c r="A66" s="88"/>
      <c r="B66" s="88"/>
      <c r="C66" s="89" t="s">
        <v>66</v>
      </c>
      <c r="D66" s="9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7"/>
      <c r="DX66" s="117"/>
      <c r="DY66" s="117"/>
      <c r="DZ66" s="110">
        <f>DZ18</f>
        <v>0</v>
      </c>
      <c r="EA66" s="110">
        <f t="shared" ref="EA66:EB66" si="70">EA18</f>
        <v>0</v>
      </c>
      <c r="EB66" s="110">
        <f t="shared" si="70"/>
        <v>0</v>
      </c>
    </row>
    <row r="67" spans="1:136" s="32" customFormat="1" x14ac:dyDescent="0.25">
      <c r="A67" s="62"/>
      <c r="B67" s="63"/>
      <c r="C67" s="86" t="s">
        <v>67</v>
      </c>
      <c r="D67" s="65"/>
      <c r="E67" s="65"/>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3"/>
      <c r="DX67" s="113"/>
      <c r="DY67" s="113"/>
      <c r="DZ67" s="116"/>
      <c r="EA67" s="116"/>
      <c r="EB67" s="116">
        <f>ROUND(EB66*20/120,2)</f>
        <v>0</v>
      </c>
    </row>
    <row r="68" spans="1:136" s="32" customFormat="1" x14ac:dyDescent="0.25">
      <c r="A68" s="62"/>
      <c r="B68" s="63"/>
      <c r="C68" s="123" t="s">
        <v>135</v>
      </c>
      <c r="D68" s="65"/>
      <c r="E68" s="65"/>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3"/>
      <c r="DX68" s="113"/>
      <c r="DY68" s="113"/>
      <c r="DZ68" s="116"/>
      <c r="EA68" s="116"/>
      <c r="EB68" s="124">
        <f>SUMPRODUCT(($DY$21:$DY$65)*(G21:G65)*($A$21:$A$65=""))</f>
        <v>0</v>
      </c>
    </row>
    <row r="69" spans="1:136" s="32" customFormat="1" x14ac:dyDescent="0.25">
      <c r="A69" s="62"/>
      <c r="B69" s="63"/>
      <c r="C69" s="123" t="s">
        <v>136</v>
      </c>
      <c r="D69" s="65"/>
      <c r="E69" s="65"/>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3"/>
      <c r="DX69" s="113"/>
      <c r="DY69" s="113"/>
      <c r="DZ69" s="116"/>
      <c r="EA69" s="116"/>
      <c r="EB69" s="124">
        <f>SUMPRODUCT(($DY$21:$DY$65)*(Y21:Y65)*($A$21:$A$65=""))</f>
        <v>0</v>
      </c>
    </row>
    <row r="70" spans="1:136" s="32" customFormat="1" x14ac:dyDescent="0.25">
      <c r="A70" s="62"/>
      <c r="B70" s="63"/>
      <c r="C70" s="123" t="s">
        <v>137</v>
      </c>
      <c r="D70" s="65"/>
      <c r="E70" s="65"/>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3"/>
      <c r="DX70" s="113"/>
      <c r="DY70" s="113"/>
      <c r="DZ70" s="116"/>
      <c r="EA70" s="116"/>
      <c r="EB70" s="124">
        <f>SUMPRODUCT(($DY$21:$DY$65)*(AQ21:AQ65)*($A$21:$A$65=""))</f>
        <v>0</v>
      </c>
    </row>
    <row r="71" spans="1:136" s="32" customFormat="1" x14ac:dyDescent="0.25">
      <c r="A71" s="62"/>
      <c r="B71" s="63"/>
      <c r="C71" s="123" t="s">
        <v>138</v>
      </c>
      <c r="D71" s="65"/>
      <c r="E71" s="65"/>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3"/>
      <c r="DX71" s="113"/>
      <c r="DY71" s="113"/>
      <c r="DZ71" s="116"/>
      <c r="EA71" s="116"/>
      <c r="EB71" s="124">
        <f>SUMPRODUCT(($DY$21:$DY$65)*(BI21:BI65)*($A$21:$A$65=""))</f>
        <v>0</v>
      </c>
    </row>
    <row r="72" spans="1:136" s="32" customFormat="1" x14ac:dyDescent="0.25">
      <c r="A72" s="62"/>
      <c r="B72" s="63"/>
      <c r="C72" s="123" t="s">
        <v>139</v>
      </c>
      <c r="D72" s="65"/>
      <c r="E72" s="65"/>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3"/>
      <c r="DX72" s="113"/>
      <c r="DY72" s="113"/>
      <c r="DZ72" s="116"/>
      <c r="EA72" s="116"/>
      <c r="EB72" s="124">
        <f>SUMPRODUCT(($DY$21:$DY$65)*(CA21:CA65)*($A$21:$A$65=""))</f>
        <v>0</v>
      </c>
    </row>
    <row r="73" spans="1:136" s="32" customFormat="1" x14ac:dyDescent="0.25">
      <c r="A73" s="62"/>
      <c r="B73" s="63"/>
      <c r="C73" s="123" t="s">
        <v>140</v>
      </c>
      <c r="D73" s="65"/>
      <c r="E73" s="65"/>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3"/>
      <c r="DX73" s="113"/>
      <c r="DY73" s="113"/>
      <c r="DZ73" s="116"/>
      <c r="EA73" s="116"/>
      <c r="EB73" s="124">
        <f>SUMPRODUCT(($DY$21:$DY$65)*(CS21:CS65)*($A$21:$A$65=""))</f>
        <v>0</v>
      </c>
    </row>
    <row r="74" spans="1:136" s="32" customFormat="1" x14ac:dyDescent="0.25">
      <c r="A74" s="62"/>
      <c r="B74" s="63"/>
      <c r="C74" s="123" t="s">
        <v>141</v>
      </c>
      <c r="D74" s="65"/>
      <c r="E74" s="65"/>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3"/>
      <c r="DX74" s="113"/>
      <c r="DY74" s="113"/>
      <c r="DZ74" s="116"/>
      <c r="EA74" s="116"/>
      <c r="EB74" s="124">
        <f>SUMPRODUCT(($DY$21:$DY$65)*(DK21:DK65)*($A$21:$A$65=""))</f>
        <v>0</v>
      </c>
    </row>
    <row r="75" spans="1:136" s="85" customFormat="1" x14ac:dyDescent="0.25">
      <c r="A75" s="83"/>
      <c r="B75" s="84"/>
      <c r="C75" s="78"/>
      <c r="D75" s="79"/>
      <c r="E75" s="79"/>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7"/>
      <c r="DX75" s="87"/>
      <c r="DY75" s="81"/>
      <c r="DZ75" s="82"/>
      <c r="EA75" s="82"/>
      <c r="EB75" s="82"/>
    </row>
    <row r="76" spans="1:136" s="28" customFormat="1" x14ac:dyDescent="0.25">
      <c r="A76" s="158"/>
      <c r="B76" s="130" t="s">
        <v>115</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E76" s="29"/>
      <c r="EF76" s="29"/>
    </row>
    <row r="77" spans="1:136" x14ac:dyDescent="0.25">
      <c r="A77" s="159"/>
      <c r="B77" s="147" t="s">
        <v>17</v>
      </c>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E77" s="2"/>
      <c r="EF77" s="2"/>
    </row>
    <row r="78" spans="1:136" x14ac:dyDescent="0.25">
      <c r="A78" s="159"/>
      <c r="B78" s="147" t="s">
        <v>25</v>
      </c>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E78" s="2"/>
      <c r="EF78" s="2"/>
    </row>
    <row r="79" spans="1:136" ht="33.75" customHeight="1" x14ac:dyDescent="0.25">
      <c r="A79" s="159"/>
      <c r="B79" s="147" t="s">
        <v>116</v>
      </c>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E79" s="2"/>
      <c r="EF79" s="2"/>
    </row>
    <row r="80" spans="1:136" ht="33" customHeight="1" x14ac:dyDescent="0.25">
      <c r="A80" s="159"/>
      <c r="B80" s="147" t="s">
        <v>26</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E80" s="2"/>
      <c r="EF80" s="2"/>
    </row>
    <row r="81" spans="1:136" ht="32.25" customHeight="1" x14ac:dyDescent="0.25">
      <c r="A81" s="159"/>
      <c r="B81" s="147" t="s">
        <v>117</v>
      </c>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E81" s="2"/>
      <c r="EF81" s="2"/>
    </row>
    <row r="82" spans="1:136" x14ac:dyDescent="0.25">
      <c r="A82" s="159"/>
      <c r="B82" s="147" t="s">
        <v>149</v>
      </c>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E82" s="2"/>
      <c r="EF82" s="2"/>
    </row>
    <row r="83" spans="1:136" x14ac:dyDescent="0.25">
      <c r="A83" s="159"/>
      <c r="B83" s="151" t="s">
        <v>36</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52"/>
      <c r="DU83" s="152"/>
      <c r="DV83" s="152"/>
      <c r="DW83" s="152"/>
      <c r="DX83" s="152"/>
      <c r="DY83" s="152"/>
      <c r="DZ83" s="152"/>
      <c r="EA83" s="152"/>
      <c r="EB83" s="152"/>
      <c r="EE83" s="2"/>
      <c r="EF83" s="2"/>
    </row>
    <row r="84" spans="1:136" ht="44.25" customHeight="1" x14ac:dyDescent="0.25">
      <c r="A84" s="159"/>
      <c r="B84" s="147" t="s">
        <v>118</v>
      </c>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E84" s="2"/>
      <c r="EF84" s="2"/>
    </row>
    <row r="85" spans="1:136" x14ac:dyDescent="0.25">
      <c r="A85" s="159"/>
      <c r="B85" s="151" t="s">
        <v>27</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E85" s="2"/>
      <c r="EF85" s="2"/>
    </row>
    <row r="86" spans="1:136" ht="32.25" customHeight="1" x14ac:dyDescent="0.25">
      <c r="A86" s="159"/>
      <c r="B86" s="147" t="s">
        <v>119</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E86" s="2"/>
      <c r="EF86" s="2"/>
    </row>
    <row r="87" spans="1:136" ht="48.75" customHeight="1" x14ac:dyDescent="0.25">
      <c r="A87" s="159"/>
      <c r="B87" s="147" t="s">
        <v>37</v>
      </c>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E87" s="2"/>
      <c r="EF87" s="2"/>
    </row>
    <row r="88" spans="1:136" x14ac:dyDescent="0.25">
      <c r="A88" s="26"/>
      <c r="B88" s="27" t="s">
        <v>28</v>
      </c>
      <c r="C88" s="26"/>
      <c r="D88" s="25"/>
      <c r="E88" s="25"/>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18"/>
      <c r="DX88" s="18"/>
      <c r="DY88" s="18"/>
      <c r="DZ88" s="18"/>
      <c r="EA88" s="18"/>
      <c r="EB88" s="18"/>
      <c r="EE88" s="2"/>
      <c r="EF88" s="2"/>
    </row>
    <row r="89" spans="1:136" x14ac:dyDescent="0.25">
      <c r="A89" s="22">
        <v>1</v>
      </c>
      <c r="B89" s="150" t="s">
        <v>16</v>
      </c>
      <c r="C89" s="150"/>
      <c r="D89" s="150"/>
      <c r="E89" s="101"/>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18"/>
      <c r="DX89" s="18"/>
      <c r="DY89" s="18"/>
      <c r="DZ89" s="18"/>
      <c r="EA89" s="18"/>
      <c r="EB89" s="18"/>
      <c r="EE89" s="2"/>
      <c r="EF89" s="2"/>
    </row>
    <row r="90" spans="1:136" x14ac:dyDescent="0.25">
      <c r="A90" s="22">
        <v>2</v>
      </c>
      <c r="B90" s="21" t="s">
        <v>15</v>
      </c>
      <c r="C90" s="24"/>
      <c r="D90" s="23"/>
      <c r="E90" s="23"/>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18"/>
      <c r="DX90" s="18"/>
      <c r="DY90" s="18"/>
      <c r="DZ90" s="18"/>
      <c r="EA90" s="18"/>
      <c r="EB90" s="18"/>
      <c r="EE90" s="2"/>
      <c r="EF90" s="2"/>
    </row>
    <row r="91" spans="1:136" x14ac:dyDescent="0.25">
      <c r="A91" s="22">
        <v>3</v>
      </c>
      <c r="B91" s="21" t="s">
        <v>14</v>
      </c>
      <c r="C91" s="24"/>
      <c r="D91" s="23"/>
      <c r="E91" s="23"/>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18"/>
      <c r="DX91" s="18"/>
      <c r="DY91" s="18"/>
      <c r="DZ91" s="18"/>
      <c r="EA91" s="18"/>
      <c r="EB91" s="18"/>
      <c r="EE91" s="2"/>
      <c r="EF91" s="2"/>
    </row>
    <row r="92" spans="1:136" x14ac:dyDescent="0.25">
      <c r="A92" s="22">
        <v>4</v>
      </c>
      <c r="B92" s="21" t="s">
        <v>29</v>
      </c>
      <c r="C92" s="24"/>
      <c r="D92" s="23"/>
      <c r="E92" s="23"/>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18"/>
      <c r="DX92" s="18"/>
      <c r="DY92" s="18"/>
      <c r="DZ92" s="18"/>
      <c r="EA92" s="18"/>
      <c r="EB92" s="18"/>
      <c r="EE92" s="2"/>
      <c r="EF92" s="2"/>
    </row>
    <row r="93" spans="1:136" x14ac:dyDescent="0.25">
      <c r="A93" s="22">
        <v>5</v>
      </c>
      <c r="B93" s="21" t="s">
        <v>30</v>
      </c>
      <c r="C93" s="24"/>
      <c r="D93" s="23"/>
      <c r="E93" s="23"/>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18"/>
      <c r="DX93" s="18"/>
      <c r="DY93" s="18"/>
      <c r="DZ93" s="18"/>
      <c r="EA93" s="18"/>
      <c r="EB93" s="18"/>
      <c r="EE93" s="2"/>
      <c r="EF93" s="2"/>
    </row>
    <row r="94" spans="1:136" x14ac:dyDescent="0.25">
      <c r="A94" s="22">
        <v>6</v>
      </c>
      <c r="B94" s="21" t="s">
        <v>31</v>
      </c>
      <c r="C94" s="24"/>
      <c r="D94" s="23"/>
      <c r="E94" s="23"/>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18"/>
      <c r="DX94" s="18"/>
      <c r="DY94" s="18"/>
      <c r="DZ94" s="18"/>
      <c r="EA94" s="18"/>
      <c r="EB94" s="18"/>
      <c r="EE94" s="2"/>
      <c r="EF94" s="2"/>
    </row>
    <row r="95" spans="1:136" x14ac:dyDescent="0.25">
      <c r="A95" s="22">
        <v>7</v>
      </c>
      <c r="B95" s="21" t="s">
        <v>32</v>
      </c>
      <c r="C95" s="24"/>
      <c r="D95" s="23"/>
      <c r="E95" s="23"/>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18"/>
      <c r="DX95" s="18"/>
      <c r="DY95" s="18"/>
      <c r="DZ95" s="18"/>
      <c r="EA95" s="18"/>
      <c r="EB95" s="18"/>
      <c r="EE95" s="2"/>
      <c r="EF95" s="2"/>
    </row>
    <row r="96" spans="1:136" x14ac:dyDescent="0.25">
      <c r="A96" s="22">
        <v>8</v>
      </c>
      <c r="B96" s="21" t="s">
        <v>33</v>
      </c>
      <c r="C96" s="24"/>
      <c r="D96" s="23"/>
      <c r="E96" s="23"/>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18"/>
      <c r="DX96" s="18"/>
      <c r="DY96" s="18"/>
      <c r="DZ96" s="18"/>
      <c r="EA96" s="18"/>
      <c r="EB96" s="18"/>
      <c r="EE96" s="2"/>
      <c r="EF96" s="2"/>
    </row>
    <row r="97" spans="1:136" x14ac:dyDescent="0.25">
      <c r="A97" s="22">
        <v>9</v>
      </c>
      <c r="B97" s="21" t="s">
        <v>34</v>
      </c>
      <c r="C97" s="24"/>
      <c r="D97" s="23"/>
      <c r="E97" s="23"/>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18"/>
      <c r="DX97" s="18"/>
      <c r="DY97" s="18"/>
      <c r="DZ97" s="18"/>
      <c r="EA97" s="18"/>
      <c r="EB97" s="18"/>
      <c r="EE97" s="2"/>
      <c r="EF97" s="2"/>
    </row>
    <row r="98" spans="1:136" x14ac:dyDescent="0.25">
      <c r="A98" s="22">
        <v>10</v>
      </c>
      <c r="B98" s="21" t="s">
        <v>35</v>
      </c>
      <c r="C98" s="20"/>
      <c r="D98" s="19"/>
      <c r="E98" s="19"/>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18"/>
      <c r="DX98" s="18"/>
      <c r="DY98" s="18"/>
      <c r="DZ98" s="18"/>
      <c r="EA98" s="18"/>
      <c r="EB98" s="18"/>
      <c r="EE98" s="2"/>
      <c r="EF98" s="2"/>
    </row>
    <row r="99" spans="1:136" x14ac:dyDescent="0.25">
      <c r="A99" s="22">
        <v>11</v>
      </c>
      <c r="B99" s="21" t="s">
        <v>13</v>
      </c>
      <c r="C99" s="20"/>
      <c r="D99" s="19"/>
      <c r="E99" s="19"/>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18"/>
      <c r="DX99" s="18"/>
      <c r="DY99" s="18"/>
      <c r="DZ99" s="18"/>
      <c r="EA99" s="18"/>
      <c r="EB99" s="18"/>
      <c r="EE99" s="2"/>
      <c r="EF99" s="2"/>
    </row>
    <row r="100" spans="1:136" ht="15.75" customHeight="1" x14ac:dyDescent="0.25">
      <c r="A100" s="22">
        <v>12</v>
      </c>
      <c r="B100" s="21" t="s">
        <v>18</v>
      </c>
      <c r="C100" s="20"/>
      <c r="D100" s="19"/>
      <c r="E100" s="19"/>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18"/>
      <c r="DX100" s="18"/>
      <c r="DY100" s="18"/>
      <c r="DZ100" s="18"/>
      <c r="EA100" s="18"/>
      <c r="EB100" s="18"/>
    </row>
    <row r="101" spans="1:136" s="17" customFormat="1" x14ac:dyDescent="0.25">
      <c r="A101" s="15"/>
      <c r="B101" s="14"/>
      <c r="C101" s="13"/>
      <c r="D101" s="12"/>
      <c r="E101" s="1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18"/>
      <c r="DX101" s="18"/>
      <c r="DY101" s="18"/>
      <c r="DZ101" s="18"/>
      <c r="EA101" s="18"/>
      <c r="EB101" s="18"/>
    </row>
    <row r="102" spans="1:136" s="54" customFormat="1" ht="18" customHeight="1" x14ac:dyDescent="0.25">
      <c r="A102" s="50" t="s">
        <v>38</v>
      </c>
      <c r="B102" s="51"/>
      <c r="C102" s="52"/>
      <c r="D102" s="53"/>
      <c r="E102" s="53"/>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18"/>
      <c r="DX102" s="18"/>
      <c r="DY102" s="18"/>
      <c r="DZ102" s="18"/>
      <c r="EA102" s="18"/>
      <c r="EB102" s="18"/>
    </row>
    <row r="103" spans="1:136" s="28" customFormat="1" ht="12" customHeight="1" x14ac:dyDescent="0.25">
      <c r="A103" s="45"/>
      <c r="B103" s="46"/>
      <c r="C103" s="16"/>
      <c r="D103" s="12"/>
      <c r="E103" s="1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18"/>
      <c r="DX103" s="18"/>
      <c r="DY103" s="18"/>
      <c r="DZ103" s="18"/>
      <c r="EA103" s="18"/>
      <c r="EB103" s="18"/>
    </row>
    <row r="104" spans="1:136" s="48" customFormat="1" ht="15" customHeight="1" x14ac:dyDescent="0.2">
      <c r="A104" s="47" t="s">
        <v>52</v>
      </c>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55"/>
    </row>
    <row r="105" spans="1:136" s="48" customFormat="1" ht="12.75" customHeight="1" x14ac:dyDescent="0.2">
      <c r="A105" s="49"/>
      <c r="B105" s="136" t="s">
        <v>53</v>
      </c>
      <c r="C105" s="137"/>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c r="DV105" s="149"/>
      <c r="DW105" s="149"/>
      <c r="DX105" s="149"/>
      <c r="DY105" s="149"/>
      <c r="DZ105" s="149"/>
      <c r="EA105" s="149"/>
      <c r="EB105" s="149"/>
      <c r="EC105" s="56"/>
    </row>
    <row r="106" spans="1:136" s="48" customFormat="1" ht="12.75" x14ac:dyDescent="0.2">
      <c r="A106" s="49"/>
      <c r="B106" s="136" t="s">
        <v>54</v>
      </c>
      <c r="C106" s="137"/>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6"/>
      <c r="CZ106" s="146"/>
      <c r="DA106" s="146"/>
      <c r="DB106" s="146"/>
      <c r="DC106" s="146"/>
      <c r="DD106" s="146"/>
      <c r="DE106" s="146"/>
      <c r="DF106" s="146"/>
      <c r="DG106" s="146"/>
      <c r="DH106" s="146"/>
      <c r="DI106" s="146"/>
      <c r="DJ106" s="146"/>
      <c r="DK106" s="146"/>
      <c r="DL106" s="146"/>
      <c r="DM106" s="146"/>
      <c r="DN106" s="146"/>
      <c r="DO106" s="146"/>
      <c r="DP106" s="146"/>
      <c r="DQ106" s="146"/>
      <c r="DR106" s="146"/>
      <c r="DS106" s="146"/>
      <c r="DT106" s="146"/>
      <c r="DU106" s="146"/>
      <c r="DV106" s="146"/>
      <c r="DW106" s="146"/>
      <c r="DX106" s="146"/>
      <c r="DY106" s="146"/>
      <c r="DZ106" s="146"/>
      <c r="EA106" s="146"/>
      <c r="EB106" s="146"/>
      <c r="EC106" s="57"/>
    </row>
    <row r="107" spans="1:136" s="48" customFormat="1" ht="12.75" x14ac:dyDescent="0.2">
      <c r="A107" s="49"/>
      <c r="B107" s="153" t="s">
        <v>55</v>
      </c>
      <c r="C107" s="154"/>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149"/>
      <c r="CI107" s="149"/>
      <c r="CJ107" s="149"/>
      <c r="CK107" s="149"/>
      <c r="CL107" s="149"/>
      <c r="CM107" s="149"/>
      <c r="CN107" s="149"/>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J107" s="149"/>
      <c r="DK107" s="149"/>
      <c r="DL107" s="149"/>
      <c r="DM107" s="149"/>
      <c r="DN107" s="149"/>
      <c r="DO107" s="149"/>
      <c r="DP107" s="149"/>
      <c r="DQ107" s="149"/>
      <c r="DR107" s="149"/>
      <c r="DS107" s="149"/>
      <c r="DT107" s="149"/>
      <c r="DU107" s="149"/>
      <c r="DV107" s="149"/>
      <c r="DW107" s="149"/>
      <c r="DX107" s="149"/>
      <c r="DY107" s="149"/>
      <c r="DZ107" s="149"/>
      <c r="EA107" s="149"/>
      <c r="EB107" s="149"/>
      <c r="EC107" s="56"/>
    </row>
    <row r="108" spans="1:136" s="48" customFormat="1" ht="12.75" x14ac:dyDescent="0.2">
      <c r="A108" s="49"/>
      <c r="B108" s="153" t="s">
        <v>148</v>
      </c>
      <c r="C108" s="154"/>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149"/>
      <c r="CI108" s="149"/>
      <c r="CJ108" s="149"/>
      <c r="CK108" s="149"/>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c r="DV108" s="149"/>
      <c r="DW108" s="149"/>
      <c r="DX108" s="149"/>
      <c r="DY108" s="149"/>
      <c r="DZ108" s="149"/>
      <c r="EA108" s="149"/>
      <c r="EB108" s="149"/>
      <c r="EC108" s="56"/>
    </row>
    <row r="109" spans="1:136" s="48" customFormat="1" ht="12.75" customHeight="1" x14ac:dyDescent="0.2">
      <c r="A109" s="49"/>
      <c r="B109" s="144" t="s">
        <v>56</v>
      </c>
      <c r="C109" s="145"/>
      <c r="D109" s="155" t="s">
        <v>57</v>
      </c>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7"/>
      <c r="EC109" s="57"/>
    </row>
    <row r="110" spans="1:136" s="48" customFormat="1" ht="12.75" customHeight="1" x14ac:dyDescent="0.2">
      <c r="A110" s="49"/>
      <c r="B110" s="136" t="s">
        <v>58</v>
      </c>
      <c r="C110" s="137"/>
      <c r="D110" s="141" t="s">
        <v>59</v>
      </c>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c r="CI110" s="142"/>
      <c r="CJ110" s="142"/>
      <c r="CK110" s="142"/>
      <c r="CL110" s="142"/>
      <c r="CM110" s="142"/>
      <c r="CN110" s="142"/>
      <c r="CO110" s="142"/>
      <c r="CP110" s="142"/>
      <c r="CQ110" s="142"/>
      <c r="CR110" s="142"/>
      <c r="CS110" s="142"/>
      <c r="CT110" s="142"/>
      <c r="CU110" s="142"/>
      <c r="CV110" s="142"/>
      <c r="CW110" s="142"/>
      <c r="CX110" s="142"/>
      <c r="CY110" s="142"/>
      <c r="CZ110" s="142"/>
      <c r="DA110" s="142"/>
      <c r="DB110" s="142"/>
      <c r="DC110" s="142"/>
      <c r="DD110" s="142"/>
      <c r="DE110" s="142"/>
      <c r="DF110" s="142"/>
      <c r="DG110" s="142"/>
      <c r="DH110" s="142"/>
      <c r="DI110" s="142"/>
      <c r="DJ110" s="142"/>
      <c r="DK110" s="142"/>
      <c r="DL110" s="142"/>
      <c r="DM110" s="142"/>
      <c r="DN110" s="142"/>
      <c r="DO110" s="142"/>
      <c r="DP110" s="142"/>
      <c r="DQ110" s="142"/>
      <c r="DR110" s="142"/>
      <c r="DS110" s="142"/>
      <c r="DT110" s="142"/>
      <c r="DU110" s="142"/>
      <c r="DV110" s="142"/>
      <c r="DW110" s="142"/>
      <c r="DX110" s="142"/>
      <c r="DY110" s="142"/>
      <c r="DZ110" s="142"/>
      <c r="EA110" s="142"/>
      <c r="EB110" s="143"/>
      <c r="EC110" s="56"/>
    </row>
    <row r="111" spans="1:136" s="48" customFormat="1" ht="12.75" x14ac:dyDescent="0.2">
      <c r="A111" s="49"/>
      <c r="B111" s="136" t="s">
        <v>60</v>
      </c>
      <c r="C111" s="137"/>
      <c r="D111" s="141" t="s">
        <v>61</v>
      </c>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c r="CJ111" s="142"/>
      <c r="CK111" s="142"/>
      <c r="CL111" s="142"/>
      <c r="CM111" s="142"/>
      <c r="CN111" s="142"/>
      <c r="CO111" s="142"/>
      <c r="CP111" s="142"/>
      <c r="CQ111" s="142"/>
      <c r="CR111" s="142"/>
      <c r="CS111" s="142"/>
      <c r="CT111" s="142"/>
      <c r="CU111" s="142"/>
      <c r="CV111" s="142"/>
      <c r="CW111" s="142"/>
      <c r="CX111" s="142"/>
      <c r="CY111" s="142"/>
      <c r="CZ111" s="142"/>
      <c r="DA111" s="142"/>
      <c r="DB111" s="142"/>
      <c r="DC111" s="142"/>
      <c r="DD111" s="142"/>
      <c r="DE111" s="142"/>
      <c r="DF111" s="142"/>
      <c r="DG111" s="142"/>
      <c r="DH111" s="142"/>
      <c r="DI111" s="142"/>
      <c r="DJ111" s="142"/>
      <c r="DK111" s="142"/>
      <c r="DL111" s="142"/>
      <c r="DM111" s="142"/>
      <c r="DN111" s="142"/>
      <c r="DO111" s="142"/>
      <c r="DP111" s="142"/>
      <c r="DQ111" s="142"/>
      <c r="DR111" s="142"/>
      <c r="DS111" s="142"/>
      <c r="DT111" s="142"/>
      <c r="DU111" s="142"/>
      <c r="DV111" s="142"/>
      <c r="DW111" s="142"/>
      <c r="DX111" s="142"/>
      <c r="DY111" s="142"/>
      <c r="DZ111" s="142"/>
      <c r="EA111" s="142"/>
      <c r="EB111" s="143"/>
      <c r="EC111" s="58"/>
    </row>
    <row r="112" spans="1:136" s="48" customFormat="1" ht="15.75" customHeight="1" x14ac:dyDescent="0.2">
      <c r="A112" s="49"/>
      <c r="B112" s="136" t="s">
        <v>62</v>
      </c>
      <c r="C112" s="137"/>
      <c r="D112" s="141" t="s">
        <v>63</v>
      </c>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c r="CG112" s="142"/>
      <c r="CH112" s="142"/>
      <c r="CI112" s="142"/>
      <c r="CJ112" s="142"/>
      <c r="CK112" s="142"/>
      <c r="CL112" s="142"/>
      <c r="CM112" s="142"/>
      <c r="CN112" s="142"/>
      <c r="CO112" s="142"/>
      <c r="CP112" s="142"/>
      <c r="CQ112" s="142"/>
      <c r="CR112" s="142"/>
      <c r="CS112" s="142"/>
      <c r="CT112" s="142"/>
      <c r="CU112" s="142"/>
      <c r="CV112" s="142"/>
      <c r="CW112" s="142"/>
      <c r="CX112" s="142"/>
      <c r="CY112" s="142"/>
      <c r="CZ112" s="142"/>
      <c r="DA112" s="142"/>
      <c r="DB112" s="142"/>
      <c r="DC112" s="142"/>
      <c r="DD112" s="142"/>
      <c r="DE112" s="142"/>
      <c r="DF112" s="142"/>
      <c r="DG112" s="142"/>
      <c r="DH112" s="142"/>
      <c r="DI112" s="142"/>
      <c r="DJ112" s="142"/>
      <c r="DK112" s="142"/>
      <c r="DL112" s="142"/>
      <c r="DM112" s="142"/>
      <c r="DN112" s="142"/>
      <c r="DO112" s="142"/>
      <c r="DP112" s="142"/>
      <c r="DQ112" s="142"/>
      <c r="DR112" s="142"/>
      <c r="DS112" s="142"/>
      <c r="DT112" s="142"/>
      <c r="DU112" s="142"/>
      <c r="DV112" s="142"/>
      <c r="DW112" s="142"/>
      <c r="DX112" s="142"/>
      <c r="DY112" s="142"/>
      <c r="DZ112" s="142"/>
      <c r="EA112" s="142"/>
      <c r="EB112" s="143"/>
      <c r="EC112" s="58"/>
    </row>
    <row r="113" spans="1:133" s="48" customFormat="1" ht="22.5" customHeight="1" x14ac:dyDescent="0.2">
      <c r="A113" s="49"/>
      <c r="B113" s="144" t="s">
        <v>65</v>
      </c>
      <c r="C113" s="145"/>
      <c r="D113" s="141"/>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c r="CO113" s="142"/>
      <c r="CP113" s="142"/>
      <c r="CQ113" s="142"/>
      <c r="CR113" s="142"/>
      <c r="CS113" s="142"/>
      <c r="CT113" s="142"/>
      <c r="CU113" s="142"/>
      <c r="CV113" s="142"/>
      <c r="CW113" s="142"/>
      <c r="CX113" s="142"/>
      <c r="CY113" s="142"/>
      <c r="CZ113" s="142"/>
      <c r="DA113" s="142"/>
      <c r="DB113" s="142"/>
      <c r="DC113" s="142"/>
      <c r="DD113" s="142"/>
      <c r="DE113" s="142"/>
      <c r="DF113" s="142"/>
      <c r="DG113" s="142"/>
      <c r="DH113" s="142"/>
      <c r="DI113" s="142"/>
      <c r="DJ113" s="142"/>
      <c r="DK113" s="142"/>
      <c r="DL113" s="142"/>
      <c r="DM113" s="142"/>
      <c r="DN113" s="142"/>
      <c r="DO113" s="142"/>
      <c r="DP113" s="142"/>
      <c r="DQ113" s="142"/>
      <c r="DR113" s="142"/>
      <c r="DS113" s="142"/>
      <c r="DT113" s="142"/>
      <c r="DU113" s="142"/>
      <c r="DV113" s="142"/>
      <c r="DW113" s="142"/>
      <c r="DX113" s="142"/>
      <c r="DY113" s="142"/>
      <c r="DZ113" s="142"/>
      <c r="EA113" s="142"/>
      <c r="EB113" s="143"/>
      <c r="EC113" s="58"/>
    </row>
    <row r="114" spans="1:133" s="48" customFormat="1" ht="21" customHeight="1" x14ac:dyDescent="0.2">
      <c r="A114" s="49"/>
      <c r="B114" s="144" t="s">
        <v>68</v>
      </c>
      <c r="C114" s="145"/>
      <c r="D114" s="141"/>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c r="CL114" s="142"/>
      <c r="CM114" s="142"/>
      <c r="CN114" s="142"/>
      <c r="CO114" s="142"/>
      <c r="CP114" s="142"/>
      <c r="CQ114" s="142"/>
      <c r="CR114" s="142"/>
      <c r="CS114" s="142"/>
      <c r="CT114" s="142"/>
      <c r="CU114" s="142"/>
      <c r="CV114" s="142"/>
      <c r="CW114" s="142"/>
      <c r="CX114" s="142"/>
      <c r="CY114" s="142"/>
      <c r="CZ114" s="142"/>
      <c r="DA114" s="142"/>
      <c r="DB114" s="142"/>
      <c r="DC114" s="142"/>
      <c r="DD114" s="142"/>
      <c r="DE114" s="142"/>
      <c r="DF114" s="142"/>
      <c r="DG114" s="142"/>
      <c r="DH114" s="142"/>
      <c r="DI114" s="142"/>
      <c r="DJ114" s="142"/>
      <c r="DK114" s="142"/>
      <c r="DL114" s="142"/>
      <c r="DM114" s="142"/>
      <c r="DN114" s="142"/>
      <c r="DO114" s="142"/>
      <c r="DP114" s="142"/>
      <c r="DQ114" s="142"/>
      <c r="DR114" s="142"/>
      <c r="DS114" s="142"/>
      <c r="DT114" s="142"/>
      <c r="DU114" s="142"/>
      <c r="DV114" s="142"/>
      <c r="DW114" s="142"/>
      <c r="DX114" s="142"/>
      <c r="DY114" s="142"/>
      <c r="DZ114" s="142"/>
      <c r="EA114" s="142"/>
      <c r="EB114" s="143"/>
      <c r="EC114" s="58"/>
    </row>
    <row r="115" spans="1:133" ht="15.75" customHeight="1" x14ac:dyDescent="0.25">
      <c r="A115" s="138" t="s">
        <v>39</v>
      </c>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c r="CB115" s="138"/>
      <c r="CC115" s="138"/>
      <c r="CD115" s="138"/>
      <c r="CE115" s="138"/>
      <c r="CF115" s="138"/>
      <c r="CG115" s="138"/>
      <c r="CH115" s="138"/>
      <c r="CI115" s="138"/>
      <c r="CJ115" s="138"/>
      <c r="CK115" s="138"/>
      <c r="CL115" s="138"/>
      <c r="CM115" s="138"/>
      <c r="CN115" s="138"/>
      <c r="CO115" s="138"/>
      <c r="CP115" s="138"/>
      <c r="CQ115" s="138"/>
      <c r="CR115" s="138"/>
      <c r="CS115" s="138"/>
      <c r="CT115" s="138"/>
      <c r="CU115" s="138"/>
      <c r="CV115" s="138"/>
      <c r="CW115" s="138"/>
      <c r="CX115" s="138"/>
      <c r="CY115" s="138"/>
      <c r="CZ115" s="138"/>
      <c r="DA115" s="138"/>
      <c r="DB115" s="138"/>
      <c r="DC115" s="138"/>
      <c r="DD115" s="138"/>
      <c r="DE115" s="138"/>
      <c r="DF115" s="138"/>
      <c r="DG115" s="138"/>
      <c r="DH115" s="138"/>
      <c r="DI115" s="138"/>
      <c r="DJ115" s="138"/>
      <c r="DK115" s="138"/>
      <c r="DL115" s="138"/>
      <c r="DM115" s="138"/>
      <c r="DN115" s="138"/>
      <c r="DO115" s="138"/>
      <c r="DP115" s="138"/>
      <c r="DQ115" s="138"/>
      <c r="DR115" s="138"/>
      <c r="DS115" s="138"/>
      <c r="DT115" s="138"/>
      <c r="DU115" s="138"/>
      <c r="DV115" s="138"/>
      <c r="DW115" s="138"/>
      <c r="DX115" s="138"/>
      <c r="DY115" s="138"/>
      <c r="DZ115" s="138"/>
      <c r="EA115" s="138"/>
      <c r="EB115" s="138"/>
      <c r="EC115" s="8"/>
    </row>
    <row r="116" spans="1:133" x14ac:dyDescent="0.25">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c r="BY116" s="138"/>
      <c r="BZ116" s="138"/>
      <c r="CA116" s="138"/>
      <c r="CB116" s="138"/>
      <c r="CC116" s="138"/>
      <c r="CD116" s="138"/>
      <c r="CE116" s="138"/>
      <c r="CF116" s="138"/>
      <c r="CG116" s="138"/>
      <c r="CH116" s="138"/>
      <c r="CI116" s="138"/>
      <c r="CJ116" s="138"/>
      <c r="CK116" s="138"/>
      <c r="CL116" s="138"/>
      <c r="CM116" s="138"/>
      <c r="CN116" s="138"/>
      <c r="CO116" s="138"/>
      <c r="CP116" s="138"/>
      <c r="CQ116" s="138"/>
      <c r="CR116" s="138"/>
      <c r="CS116" s="138"/>
      <c r="CT116" s="138"/>
      <c r="CU116" s="138"/>
      <c r="CV116" s="138"/>
      <c r="CW116" s="138"/>
      <c r="CX116" s="138"/>
      <c r="CY116" s="138"/>
      <c r="CZ116" s="138"/>
      <c r="DA116" s="138"/>
      <c r="DB116" s="138"/>
      <c r="DC116" s="138"/>
      <c r="DD116" s="138"/>
      <c r="DE116" s="138"/>
      <c r="DF116" s="138"/>
      <c r="DG116" s="138"/>
      <c r="DH116" s="138"/>
      <c r="DI116" s="138"/>
      <c r="DJ116" s="138"/>
      <c r="DK116" s="138"/>
      <c r="DL116" s="138"/>
      <c r="DM116" s="138"/>
      <c r="DN116" s="138"/>
      <c r="DO116" s="138"/>
      <c r="DP116" s="138"/>
      <c r="DQ116" s="138"/>
      <c r="DR116" s="138"/>
      <c r="DS116" s="138"/>
      <c r="DT116" s="138"/>
      <c r="DU116" s="138"/>
      <c r="DV116" s="138"/>
      <c r="DW116" s="138"/>
      <c r="DX116" s="138"/>
      <c r="DY116" s="138"/>
      <c r="DZ116" s="138"/>
      <c r="EA116" s="138"/>
      <c r="EB116" s="138"/>
      <c r="EC116" s="8"/>
    </row>
    <row r="117" spans="1:133" x14ac:dyDescent="0.25">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c r="DA117" s="138"/>
      <c r="DB117" s="138"/>
      <c r="DC117" s="138"/>
      <c r="DD117" s="138"/>
      <c r="DE117" s="138"/>
      <c r="DF117" s="138"/>
      <c r="DG117" s="138"/>
      <c r="DH117" s="138"/>
      <c r="DI117" s="138"/>
      <c r="DJ117" s="138"/>
      <c r="DK117" s="138"/>
      <c r="DL117" s="138"/>
      <c r="DM117" s="138"/>
      <c r="DN117" s="138"/>
      <c r="DO117" s="138"/>
      <c r="DP117" s="138"/>
      <c r="DQ117" s="138"/>
      <c r="DR117" s="138"/>
      <c r="DS117" s="138"/>
      <c r="DT117" s="138"/>
      <c r="DU117" s="138"/>
      <c r="DV117" s="138"/>
      <c r="DW117" s="138"/>
      <c r="DX117" s="138"/>
      <c r="DY117" s="138"/>
      <c r="DZ117" s="138"/>
      <c r="EA117" s="138"/>
      <c r="EB117" s="138"/>
      <c r="EC117" s="8"/>
    </row>
    <row r="118" spans="1:133" x14ac:dyDescent="0.25">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38"/>
      <c r="EA118" s="138"/>
      <c r="EB118" s="138"/>
      <c r="EC118" s="8"/>
    </row>
    <row r="119" spans="1:133" x14ac:dyDescent="0.25">
      <c r="A119" s="7"/>
      <c r="B119" s="7"/>
      <c r="C119" s="60"/>
      <c r="D119" s="9"/>
      <c r="E119" s="9"/>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8"/>
      <c r="DX119" s="8"/>
      <c r="DY119" s="8"/>
      <c r="DZ119" s="8"/>
      <c r="EA119" s="8"/>
      <c r="EB119" s="8"/>
      <c r="EC119" s="8"/>
    </row>
    <row r="120" spans="1:133" x14ac:dyDescent="0.25">
      <c r="B120" s="139" t="s">
        <v>12</v>
      </c>
      <c r="C120" s="139"/>
      <c r="D120" s="140" t="s">
        <v>11</v>
      </c>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c r="DH120" s="140"/>
      <c r="DI120" s="140"/>
      <c r="DJ120" s="140"/>
      <c r="DK120" s="140"/>
      <c r="DL120" s="140"/>
      <c r="DM120" s="140"/>
      <c r="DN120" s="140"/>
      <c r="DO120" s="140"/>
      <c r="DP120" s="140"/>
      <c r="DQ120" s="140"/>
      <c r="DR120" s="140"/>
      <c r="DS120" s="140"/>
      <c r="DT120" s="140"/>
      <c r="DU120" s="140"/>
      <c r="DV120" s="140"/>
      <c r="DW120" s="140"/>
      <c r="DX120" s="140"/>
      <c r="DY120" s="140"/>
      <c r="DZ120" s="140"/>
      <c r="EA120" s="140"/>
      <c r="EB120" s="140"/>
    </row>
    <row r="121" spans="1:133" x14ac:dyDescent="0.25">
      <c r="B121" s="135" t="s">
        <v>40</v>
      </c>
      <c r="C121" s="135"/>
      <c r="D121" s="135" t="s">
        <v>10</v>
      </c>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35"/>
      <c r="CR121" s="135"/>
      <c r="CS121" s="135"/>
      <c r="CT121" s="135"/>
      <c r="CU121" s="135"/>
      <c r="CV121" s="135"/>
      <c r="CW121" s="135"/>
      <c r="CX121" s="135"/>
      <c r="CY121" s="135"/>
      <c r="CZ121" s="135"/>
      <c r="DA121" s="135"/>
      <c r="DB121" s="135"/>
      <c r="DC121" s="135"/>
      <c r="DD121" s="135"/>
      <c r="DE121" s="135"/>
      <c r="DF121" s="135"/>
      <c r="DG121" s="135"/>
      <c r="DH121" s="135"/>
      <c r="DI121" s="135"/>
      <c r="DJ121" s="135"/>
      <c r="DK121" s="135"/>
      <c r="DL121" s="135"/>
      <c r="DM121" s="135"/>
      <c r="DN121" s="135"/>
      <c r="DO121" s="135"/>
      <c r="DP121" s="135"/>
      <c r="DQ121" s="135"/>
      <c r="DR121" s="135"/>
      <c r="DS121" s="135"/>
      <c r="DT121" s="135"/>
      <c r="DU121" s="135"/>
      <c r="DV121" s="135"/>
      <c r="DW121" s="135"/>
      <c r="DX121" s="135"/>
      <c r="DY121" s="11"/>
      <c r="DZ121" s="10"/>
      <c r="EA121" s="10"/>
      <c r="EB121" s="10"/>
    </row>
  </sheetData>
  <autoFilter ref="A19:EB100">
    <filterColumn colId="126" showButton="0"/>
    <filterColumn colId="127" showButton="0"/>
  </autoFilter>
  <mergeCells count="70">
    <mergeCell ref="DW13:EB13"/>
    <mergeCell ref="DW14:EB14"/>
    <mergeCell ref="DW15:EB15"/>
    <mergeCell ref="D8:DV8"/>
    <mergeCell ref="D9:DV9"/>
    <mergeCell ref="D10:DV10"/>
    <mergeCell ref="D11:DV11"/>
    <mergeCell ref="D12:DV12"/>
    <mergeCell ref="D13:DV13"/>
    <mergeCell ref="D14:DV14"/>
    <mergeCell ref="D15:DV15"/>
    <mergeCell ref="DW8:EB8"/>
    <mergeCell ref="DW9:EB9"/>
    <mergeCell ref="DW10:EB10"/>
    <mergeCell ref="DW11:EB11"/>
    <mergeCell ref="DW12:EB12"/>
    <mergeCell ref="A76:A87"/>
    <mergeCell ref="B82:EB82"/>
    <mergeCell ref="B79:EB79"/>
    <mergeCell ref="B80:EB80"/>
    <mergeCell ref="B81:EB81"/>
    <mergeCell ref="B83:EB83"/>
    <mergeCell ref="B77:EB77"/>
    <mergeCell ref="B78:EB78"/>
    <mergeCell ref="B109:C109"/>
    <mergeCell ref="B107:C107"/>
    <mergeCell ref="B108:C108"/>
    <mergeCell ref="D109:EB109"/>
    <mergeCell ref="D108:EB108"/>
    <mergeCell ref="B106:C106"/>
    <mergeCell ref="D106:EB106"/>
    <mergeCell ref="B86:EB86"/>
    <mergeCell ref="B84:EB84"/>
    <mergeCell ref="D107:EB107"/>
    <mergeCell ref="B87:EB87"/>
    <mergeCell ref="B89:D89"/>
    <mergeCell ref="D105:EB105"/>
    <mergeCell ref="B105:C105"/>
    <mergeCell ref="B85:EB85"/>
    <mergeCell ref="B121:C121"/>
    <mergeCell ref="D121:DX121"/>
    <mergeCell ref="B110:C110"/>
    <mergeCell ref="A115:EB118"/>
    <mergeCell ref="B120:C120"/>
    <mergeCell ref="D120:EB120"/>
    <mergeCell ref="D110:EB110"/>
    <mergeCell ref="D111:EB111"/>
    <mergeCell ref="D112:EB112"/>
    <mergeCell ref="B113:C113"/>
    <mergeCell ref="D113:EB113"/>
    <mergeCell ref="B114:C114"/>
    <mergeCell ref="D114:EB114"/>
    <mergeCell ref="B112:C112"/>
    <mergeCell ref="B111:C111"/>
    <mergeCell ref="A4:DX4"/>
    <mergeCell ref="C6:D6"/>
    <mergeCell ref="A3:DX3"/>
    <mergeCell ref="A9:B9"/>
    <mergeCell ref="B76:EB76"/>
    <mergeCell ref="A16:A17"/>
    <mergeCell ref="DW16:DY16"/>
    <mergeCell ref="F16:F17"/>
    <mergeCell ref="D16:D17"/>
    <mergeCell ref="C16:C17"/>
    <mergeCell ref="B16:B17"/>
    <mergeCell ref="E16:E17"/>
    <mergeCell ref="DZ16:EB16"/>
    <mergeCell ref="CS16:DV16"/>
    <mergeCell ref="G16:BH16"/>
    <mergeCell ref="BI16:CR16"/>
  </mergeCells>
  <pageMargins left="0.23622047244094491" right="0.23622047244094491" top="0.74803149606299213" bottom="0.74803149606299213" header="0.31496062992125984" footer="0.31496062992125984"/>
  <pageSetup paperSize="9" scale="2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9"/>
  <sheetViews>
    <sheetView topLeftCell="B1" workbookViewId="0">
      <selection activeCell="J8" sqref="J8:J11"/>
    </sheetView>
  </sheetViews>
  <sheetFormatPr defaultRowHeight="15.75" x14ac:dyDescent="0.25"/>
  <cols>
    <col min="4" max="4" width="11.375" customWidth="1"/>
    <col min="5" max="5" width="19.125" customWidth="1"/>
    <col min="6" max="6" width="10" customWidth="1"/>
    <col min="7" max="7" width="11.375" customWidth="1"/>
    <col min="8" max="8" width="12.25" customWidth="1"/>
    <col min="15" max="15" width="10.5" customWidth="1"/>
  </cols>
  <sheetData>
    <row r="1" spans="5:13" ht="31.5" x14ac:dyDescent="0.25">
      <c r="E1" s="99" t="s">
        <v>100</v>
      </c>
    </row>
    <row r="2" spans="5:13" x14ac:dyDescent="0.25">
      <c r="E2">
        <v>2.6</v>
      </c>
    </row>
    <row r="6" spans="5:13" x14ac:dyDescent="0.25">
      <c r="G6" t="s">
        <v>109</v>
      </c>
    </row>
    <row r="8" spans="5:13" x14ac:dyDescent="0.25">
      <c r="G8">
        <v>1.19</v>
      </c>
      <c r="H8">
        <v>3</v>
      </c>
      <c r="I8">
        <f>G8*H8</f>
        <v>3.57</v>
      </c>
      <c r="J8">
        <v>18</v>
      </c>
      <c r="K8">
        <f>I8*J8</f>
        <v>64.260000000000005</v>
      </c>
      <c r="L8">
        <v>0.21</v>
      </c>
      <c r="M8">
        <f>K8*L8</f>
        <v>13.4946</v>
      </c>
    </row>
    <row r="9" spans="5:13" x14ac:dyDescent="0.25">
      <c r="G9">
        <v>2.88</v>
      </c>
      <c r="H9">
        <v>3</v>
      </c>
      <c r="I9">
        <f>G9*H9</f>
        <v>8.64</v>
      </c>
      <c r="J9">
        <v>5</v>
      </c>
      <c r="K9">
        <f>I9*J9</f>
        <v>43.2</v>
      </c>
      <c r="L9">
        <v>0.21</v>
      </c>
      <c r="M9">
        <f>K9*L9</f>
        <v>9.0719999999999992</v>
      </c>
    </row>
    <row r="10" spans="5:13" x14ac:dyDescent="0.25">
      <c r="G10">
        <v>1.17</v>
      </c>
      <c r="H10">
        <v>3</v>
      </c>
      <c r="I10">
        <f>G10*H10</f>
        <v>3.51</v>
      </c>
      <c r="J10">
        <v>4</v>
      </c>
      <c r="K10">
        <f>I10*J10</f>
        <v>14.04</v>
      </c>
      <c r="L10">
        <v>0.21</v>
      </c>
      <c r="M10">
        <f>K10*L10</f>
        <v>2.9483999999999999</v>
      </c>
    </row>
    <row r="11" spans="5:13" x14ac:dyDescent="0.25">
      <c r="G11">
        <v>1.43</v>
      </c>
      <c r="H11">
        <v>3</v>
      </c>
      <c r="I11">
        <f>G11*H11</f>
        <v>4.29</v>
      </c>
      <c r="J11">
        <v>7</v>
      </c>
      <c r="K11">
        <f>I11*J11</f>
        <v>30.03</v>
      </c>
      <c r="L11">
        <v>0.21</v>
      </c>
      <c r="M11">
        <f>K11*L11</f>
        <v>6.3063000000000002</v>
      </c>
    </row>
    <row r="12" spans="5:13" x14ac:dyDescent="0.25">
      <c r="K12">
        <f>SUM(K8:K11)</f>
        <v>151.53</v>
      </c>
    </row>
    <row r="15" spans="5:13" x14ac:dyDescent="0.25">
      <c r="H15">
        <f>1.19*3*18+2.88*3*5+1.17*3*4+1.43*3*7</f>
        <v>151.53</v>
      </c>
    </row>
    <row r="18" spans="1:9" x14ac:dyDescent="0.25">
      <c r="I18">
        <f>1.19*0.21</f>
        <v>0.24990000000000001</v>
      </c>
    </row>
    <row r="27" spans="1:9" x14ac:dyDescent="0.25">
      <c r="H27" s="96"/>
    </row>
    <row r="28" spans="1:9" x14ac:dyDescent="0.25">
      <c r="A28" t="s">
        <v>98</v>
      </c>
    </row>
    <row r="30" spans="1:9" x14ac:dyDescent="0.25">
      <c r="A30" t="s">
        <v>99</v>
      </c>
    </row>
    <row r="56" spans="3:3" x14ac:dyDescent="0.25">
      <c r="C56" s="97"/>
    </row>
    <row r="63" spans="3:3" x14ac:dyDescent="0.25">
      <c r="C63" s="97"/>
    </row>
    <row r="71" spans="3:3" x14ac:dyDescent="0.25">
      <c r="C71" s="97"/>
    </row>
    <row r="72" spans="3:3" x14ac:dyDescent="0.25">
      <c r="C72" s="97"/>
    </row>
    <row r="81" spans="3:3" x14ac:dyDescent="0.25">
      <c r="C81" s="97"/>
    </row>
    <row r="91" spans="3:3" x14ac:dyDescent="0.25">
      <c r="C91" s="97"/>
    </row>
    <row r="97" spans="3:3" x14ac:dyDescent="0.25">
      <c r="C97" s="97"/>
    </row>
    <row r="103" spans="3:3" x14ac:dyDescent="0.25">
      <c r="C103" s="97"/>
    </row>
    <row r="110" spans="3:3" x14ac:dyDescent="0.25">
      <c r="C110" s="97"/>
    </row>
    <row r="116" spans="3:3" x14ac:dyDescent="0.25">
      <c r="C116" s="97"/>
    </row>
    <row r="124" spans="3:3" x14ac:dyDescent="0.25">
      <c r="C124" s="97"/>
    </row>
    <row r="133" spans="3:3" x14ac:dyDescent="0.25">
      <c r="C133" s="97"/>
    </row>
    <row r="142" spans="3:3" x14ac:dyDescent="0.25">
      <c r="C142" s="97"/>
    </row>
    <row r="152" spans="3:3" x14ac:dyDescent="0.25">
      <c r="C152" s="97"/>
    </row>
    <row r="163" spans="3:3" x14ac:dyDescent="0.25">
      <c r="C163" s="97"/>
    </row>
    <row r="175" spans="3:3" x14ac:dyDescent="0.25">
      <c r="C175" s="97"/>
    </row>
    <row r="186" spans="3:3" x14ac:dyDescent="0.25">
      <c r="C186" s="97"/>
    </row>
    <row r="197" spans="3:3" x14ac:dyDescent="0.25">
      <c r="C197" s="97"/>
    </row>
    <row r="209" spans="3:3" x14ac:dyDescent="0.25">
      <c r="C209" s="97"/>
    </row>
    <row r="269" spans="7:7" x14ac:dyDescent="0.25">
      <c r="G269" s="9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отделка МОП и апарт.</vt:lpstr>
      <vt:lpstr>Лист1</vt:lpstr>
      <vt:lpstr>'отделка МОП и апарт.'!Заголовки_для_печати</vt:lpstr>
      <vt:lpstr>'отделка МОП и апарт.'!Область_печати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Дудкина Дарья Викторовна</cp:lastModifiedBy>
  <cp:lastPrinted>2024-06-13T11:40:22Z</cp:lastPrinted>
  <dcterms:created xsi:type="dcterms:W3CDTF">2012-02-18T10:18:33Z</dcterms:created>
  <dcterms:modified xsi:type="dcterms:W3CDTF">2025-04-07T12:23:03Z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